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A\Communications\2016-2020 New Folder\Online, social and partnerships\Website\New LWH Website\Content\About us\Finance and Workforce\"/>
    </mc:Choice>
  </mc:AlternateContent>
  <xr:revisionPtr revIDLastSave="0" documentId="13_ncr:1_{35628FDA-0E3E-4165-9857-B94FDCC1CC9A}" xr6:coauthVersionLast="46" xr6:coauthVersionMax="46" xr10:uidLastSave="{00000000-0000-0000-0000-000000000000}"/>
  <bookViews>
    <workbookView xWindow="-120" yWindow="-120" windowWidth="19440" windowHeight="15000" tabRatio="728" firstSheet="3" activeTab="6" xr2:uid="{00000000-000D-0000-FFFF-FFFF00000000}"/>
  </bookViews>
  <sheets>
    <sheet name="Vacancy Data" sheetId="1" r:id="rId1"/>
    <sheet name="Historical Agency &amp; Bank Data" sheetId="3" r:id="rId2"/>
    <sheet name="2021-22 Agency &amp; Bank" sheetId="5" r:id="rId3"/>
    <sheet name="2020-21 Agency &amp; Bank" sheetId="4" r:id="rId4"/>
    <sheet name="2019-20 Agency &amp; Bank " sheetId="2" r:id="rId5"/>
    <sheet name="2021-22 Agency Additional Data" sheetId="6" r:id="rId6"/>
    <sheet name="Backup" sheetId="7" r:id="rId7"/>
  </sheets>
  <externalReferences>
    <externalReference r:id="rId8"/>
  </externalReferences>
  <definedNames>
    <definedName name="_ETV1" localSheetId="4">#REF!</definedName>
    <definedName name="_ETV1" localSheetId="3">#REF!</definedName>
    <definedName name="_ETV1" localSheetId="2">#REF!</definedName>
    <definedName name="_ETV1" localSheetId="1">#REF!</definedName>
    <definedName name="_ETV1">#REF!</definedName>
    <definedName name="etold" localSheetId="4">#REF!</definedName>
    <definedName name="etold" localSheetId="3">#REF!</definedName>
    <definedName name="etold" localSheetId="2">#REF!</definedName>
    <definedName name="etold" localSheetId="1">#REF!</definedName>
    <definedName name="etold">#REF!</definedName>
    <definedName name="nirates" localSheetId="4">#REF!</definedName>
    <definedName name="nirates" localSheetId="3">#REF!</definedName>
    <definedName name="nirates" localSheetId="2">#REF!</definedName>
    <definedName name="nirates" localSheetId="1">#REF!</definedName>
    <definedName name="nirates">#REF!</definedName>
    <definedName name="nirates1" localSheetId="4">#REF!</definedName>
    <definedName name="nirates1" localSheetId="3">#REF!</definedName>
    <definedName name="nirates1" localSheetId="2">#REF!</definedName>
    <definedName name="nirates1" localSheetId="1">#REF!</definedName>
    <definedName name="nirates1">#REF!</definedName>
    <definedName name="niratesold" localSheetId="4">#REF!</definedName>
    <definedName name="niratesold" localSheetId="3">#REF!</definedName>
    <definedName name="niratesold" localSheetId="2">#REF!</definedName>
    <definedName name="niratesold" localSheetId="1">#REF!</definedName>
    <definedName name="niratesold">#REF!</definedName>
    <definedName name="Recover">[1]Macro1!$A$166</definedName>
    <definedName name="Superann" localSheetId="4">#REF!</definedName>
    <definedName name="Superann" localSheetId="3">#REF!</definedName>
    <definedName name="Superann" localSheetId="2">#REF!</definedName>
    <definedName name="Superann" localSheetId="1">#REF!</definedName>
    <definedName name="Superann">#REF!</definedName>
    <definedName name="superann1" localSheetId="4">#REF!</definedName>
    <definedName name="superann1" localSheetId="3">#REF!</definedName>
    <definedName name="superann1" localSheetId="2">#REF!</definedName>
    <definedName name="superann1" localSheetId="1">#REF!</definedName>
    <definedName name="superann1">#REF!</definedName>
    <definedName name="superold" localSheetId="4">#REF!</definedName>
    <definedName name="superold" localSheetId="3">#REF!</definedName>
    <definedName name="superold" localSheetId="2">#REF!</definedName>
    <definedName name="superold" localSheetId="1">#REF!</definedName>
    <definedName name="superold">#REF!</definedName>
    <definedName name="TableName">"Dummy"</definedName>
    <definedName name="uel" localSheetId="4">#REF!</definedName>
    <definedName name="uel" localSheetId="3">#REF!</definedName>
    <definedName name="uel" localSheetId="2">#REF!</definedName>
    <definedName name="uel" localSheetId="1">#REF!</definedName>
    <definedName name="uel">#REF!</definedName>
    <definedName name="uelold" localSheetId="4">#REF!</definedName>
    <definedName name="uelold" localSheetId="3">#REF!</definedName>
    <definedName name="uelold" localSheetId="2">#REF!</definedName>
    <definedName name="uelold" localSheetId="1">#REF!</definedName>
    <definedName name="uelol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6" i="6" l="1"/>
  <c r="F50" i="6" s="1"/>
  <c r="D46" i="6"/>
  <c r="E49" i="6"/>
  <c r="E48" i="6"/>
  <c r="E47" i="6"/>
  <c r="F45" i="6"/>
  <c r="F42" i="6"/>
  <c r="F41" i="6"/>
  <c r="E45" i="6"/>
  <c r="E44" i="6"/>
  <c r="E43" i="6"/>
  <c r="E42" i="6"/>
  <c r="E41" i="6"/>
  <c r="E46" i="6"/>
  <c r="D49" i="6"/>
  <c r="D48" i="6"/>
  <c r="D47" i="6"/>
  <c r="D45" i="6"/>
  <c r="D44" i="6"/>
  <c r="D43" i="6"/>
  <c r="D42" i="6"/>
  <c r="D41" i="6"/>
  <c r="N31" i="6" l="1"/>
  <c r="N30" i="6"/>
  <c r="N26" i="6"/>
  <c r="N25" i="6"/>
  <c r="M35" i="6"/>
  <c r="M33" i="6"/>
  <c r="M30" i="6"/>
  <c r="M29" i="6"/>
  <c r="M28" i="6"/>
  <c r="M26" i="6"/>
  <c r="M25" i="6"/>
  <c r="L30" i="6"/>
  <c r="L29" i="6"/>
  <c r="L28" i="6"/>
  <c r="L31" i="6"/>
  <c r="L35" i="6"/>
  <c r="L33" i="6"/>
  <c r="L25" i="6"/>
  <c r="M31" i="6" l="1"/>
  <c r="L26" i="6"/>
  <c r="I31" i="6" l="1"/>
  <c r="J31" i="6"/>
  <c r="I34" i="6"/>
  <c r="I33" i="6"/>
  <c r="J27" i="6"/>
  <c r="J26" i="6"/>
  <c r="J25" i="6"/>
  <c r="I30" i="6"/>
  <c r="I29" i="6"/>
  <c r="I28" i="6"/>
  <c r="I27" i="6"/>
  <c r="I26" i="6"/>
  <c r="I25" i="6"/>
  <c r="H29" i="6"/>
  <c r="H31" i="6"/>
  <c r="H33" i="6"/>
  <c r="H27" i="6"/>
  <c r="H26" i="6"/>
  <c r="H25" i="6"/>
  <c r="J30" i="6" l="1"/>
  <c r="H34" i="6"/>
  <c r="H30" i="6"/>
  <c r="H28" i="6"/>
  <c r="H36" i="6" l="1"/>
  <c r="F78" i="1" l="1"/>
  <c r="K78" i="1"/>
  <c r="N20" i="6" l="1"/>
  <c r="M20" i="6"/>
  <c r="L20" i="6"/>
  <c r="J20" i="6"/>
  <c r="I20" i="6"/>
  <c r="H20" i="6"/>
  <c r="F20" i="6"/>
  <c r="E20" i="6"/>
  <c r="D20" i="6"/>
  <c r="I15" i="5" l="1"/>
  <c r="I16" i="5" l="1"/>
  <c r="E36" i="6" l="1"/>
  <c r="F36" i="6"/>
  <c r="D36" i="6"/>
  <c r="AJ42" i="7"/>
  <c r="AK42" i="7"/>
  <c r="AL42" i="7"/>
  <c r="AM42" i="7"/>
  <c r="AN42" i="7"/>
  <c r="AI42" i="7"/>
  <c r="AN34" i="7"/>
  <c r="AN35" i="7"/>
  <c r="AN36" i="7"/>
  <c r="AN37" i="7"/>
  <c r="AN38" i="7"/>
  <c r="AN39" i="7"/>
  <c r="AN40" i="7"/>
  <c r="AN41" i="7"/>
  <c r="AN33" i="7"/>
  <c r="AM29" i="7"/>
  <c r="AL29" i="7"/>
  <c r="AK29" i="7"/>
  <c r="AJ29" i="7"/>
  <c r="AI29" i="7"/>
  <c r="AH29" i="7"/>
  <c r="AN28" i="7"/>
  <c r="AN27" i="7"/>
  <c r="AN26" i="7"/>
  <c r="AN25" i="7"/>
  <c r="AN24" i="7"/>
  <c r="AN23" i="7"/>
  <c r="AN22" i="7"/>
  <c r="AN21" i="7"/>
  <c r="AN20" i="7"/>
  <c r="AN14" i="7"/>
  <c r="AJ14" i="7"/>
  <c r="AK14" i="7"/>
  <c r="AL14" i="7"/>
  <c r="AM14" i="7"/>
  <c r="AI14" i="7"/>
  <c r="AN6" i="7"/>
  <c r="AN7" i="7"/>
  <c r="AN8" i="7"/>
  <c r="AN9" i="7"/>
  <c r="AN10" i="7"/>
  <c r="AN11" i="7"/>
  <c r="AN12" i="7"/>
  <c r="AN13" i="7"/>
  <c r="AN5" i="7"/>
  <c r="AE14" i="7"/>
  <c r="AN29" i="7" l="1"/>
  <c r="AB42" i="7" l="1"/>
  <c r="AB39" i="7"/>
  <c r="AB14" i="7"/>
  <c r="AC14" i="7"/>
  <c r="AD14" i="7"/>
  <c r="AF41" i="7" l="1"/>
  <c r="X41" i="7"/>
  <c r="AE42" i="7"/>
  <c r="AD42" i="7"/>
  <c r="AC42" i="7"/>
  <c r="AA42" i="7"/>
  <c r="Z42" i="7"/>
  <c r="W42" i="7"/>
  <c r="V42" i="7"/>
  <c r="U42" i="7"/>
  <c r="T42" i="7"/>
  <c r="S42" i="7"/>
  <c r="X13" i="7"/>
  <c r="AF13" i="7"/>
  <c r="AF28" i="7"/>
  <c r="X28" i="7"/>
  <c r="AE29" i="7"/>
  <c r="AD29" i="7"/>
  <c r="AC29" i="7"/>
  <c r="AB29" i="7"/>
  <c r="AA29" i="7"/>
  <c r="Z29" i="7"/>
  <c r="W29" i="7"/>
  <c r="V29" i="7"/>
  <c r="U29" i="7"/>
  <c r="T29" i="7"/>
  <c r="S29" i="7"/>
  <c r="AA14" i="7"/>
  <c r="Z14" i="7"/>
  <c r="W14" i="7"/>
  <c r="V14" i="7"/>
  <c r="U14" i="7"/>
  <c r="T14" i="7"/>
  <c r="S14" i="7"/>
  <c r="AF40" i="7"/>
  <c r="AF39" i="7"/>
  <c r="AF38" i="7"/>
  <c r="AF37" i="7"/>
  <c r="AF36" i="7"/>
  <c r="AF35" i="7"/>
  <c r="AF34" i="7"/>
  <c r="AF33" i="7"/>
  <c r="AF27" i="7"/>
  <c r="AF26" i="7"/>
  <c r="AF25" i="7"/>
  <c r="AF24" i="7"/>
  <c r="AF23" i="7"/>
  <c r="AF22" i="7"/>
  <c r="AF21" i="7"/>
  <c r="AF20" i="7"/>
  <c r="AF12" i="7"/>
  <c r="AF11" i="7"/>
  <c r="AF10" i="7"/>
  <c r="AF9" i="7"/>
  <c r="AF8" i="7"/>
  <c r="AF7" i="7"/>
  <c r="AF6" i="7"/>
  <c r="AF5" i="7"/>
  <c r="AF42" i="7" l="1"/>
  <c r="AF29" i="7"/>
  <c r="AF14" i="7"/>
  <c r="X40" i="7" l="1"/>
  <c r="X39" i="7"/>
  <c r="X38" i="7"/>
  <c r="X37" i="7"/>
  <c r="X36" i="7"/>
  <c r="X35" i="7"/>
  <c r="X34" i="7"/>
  <c r="X33" i="7"/>
  <c r="X42" i="7" l="1"/>
  <c r="X27" i="7"/>
  <c r="X26" i="7"/>
  <c r="X25" i="7"/>
  <c r="X24" i="7"/>
  <c r="X23" i="7"/>
  <c r="X22" i="7"/>
  <c r="X21" i="7"/>
  <c r="X20" i="7"/>
  <c r="X12" i="7"/>
  <c r="X11" i="7"/>
  <c r="X10" i="7"/>
  <c r="X9" i="7"/>
  <c r="X8" i="7"/>
  <c r="X7" i="7"/>
  <c r="X6" i="7"/>
  <c r="X5" i="7"/>
  <c r="X29" i="7" l="1"/>
  <c r="X14" i="7"/>
  <c r="I78" i="1" l="1"/>
  <c r="N63" i="6" l="1"/>
  <c r="M63" i="6"/>
  <c r="L63" i="6"/>
  <c r="J63" i="6"/>
  <c r="I63" i="6"/>
  <c r="H63" i="6"/>
  <c r="F63" i="6"/>
  <c r="E63" i="6"/>
  <c r="D63" i="6"/>
  <c r="P12" i="7" l="1"/>
  <c r="P11" i="7"/>
  <c r="P10" i="7"/>
  <c r="P9" i="7"/>
  <c r="P8" i="7"/>
  <c r="P7" i="7"/>
  <c r="P6" i="7"/>
  <c r="P5" i="7"/>
  <c r="P26" i="7"/>
  <c r="P25" i="7"/>
  <c r="P24" i="7"/>
  <c r="P23" i="7"/>
  <c r="P22" i="7"/>
  <c r="P21" i="7"/>
  <c r="P20" i="7"/>
  <c r="P19" i="7"/>
  <c r="O27" i="7"/>
  <c r="O13" i="7"/>
  <c r="N13" i="7" l="1"/>
  <c r="N50" i="6" l="1"/>
  <c r="M50" i="6"/>
  <c r="L50" i="6"/>
  <c r="J50" i="6"/>
  <c r="I50" i="6"/>
  <c r="H50" i="6"/>
  <c r="E50" i="6"/>
  <c r="D50" i="6"/>
  <c r="N36" i="6"/>
  <c r="M36" i="6"/>
  <c r="L36" i="6"/>
  <c r="J36" i="6"/>
  <c r="I36" i="6"/>
  <c r="G26" i="7" l="1"/>
  <c r="G25" i="7"/>
  <c r="G24" i="7"/>
  <c r="G23" i="7"/>
  <c r="G22" i="7"/>
  <c r="G21" i="7"/>
  <c r="G20" i="7"/>
  <c r="G19" i="7"/>
  <c r="G6" i="7"/>
  <c r="G7" i="7"/>
  <c r="G8" i="7"/>
  <c r="G9" i="7"/>
  <c r="G10" i="7"/>
  <c r="G11" i="7"/>
  <c r="G12" i="7"/>
  <c r="G5" i="7"/>
  <c r="N27" i="7" l="1"/>
  <c r="M27" i="7"/>
  <c r="L27" i="7"/>
  <c r="K27" i="7"/>
  <c r="J27" i="7"/>
  <c r="M13" i="7"/>
  <c r="L13" i="7"/>
  <c r="K13" i="7"/>
  <c r="J13" i="7"/>
  <c r="F27" i="7"/>
  <c r="E27" i="7"/>
  <c r="D27" i="7"/>
  <c r="C27" i="7"/>
  <c r="B27" i="7"/>
  <c r="C13" i="7"/>
  <c r="D13" i="7"/>
  <c r="E13" i="7"/>
  <c r="F13" i="7"/>
  <c r="B13" i="7"/>
  <c r="P27" i="7" l="1"/>
  <c r="P13" i="7"/>
  <c r="G13" i="7"/>
  <c r="G27" i="7"/>
  <c r="R78" i="1" l="1"/>
  <c r="Q78" i="1"/>
  <c r="P78" i="1"/>
  <c r="O78" i="1"/>
  <c r="N78" i="1"/>
  <c r="M78" i="1"/>
  <c r="L78" i="1"/>
  <c r="J78" i="1"/>
  <c r="H78" i="1"/>
  <c r="G78" i="1"/>
  <c r="Q26" i="5"/>
  <c r="P26" i="5"/>
  <c r="O26" i="5"/>
  <c r="N26" i="5"/>
  <c r="M26" i="5"/>
  <c r="L26" i="5"/>
  <c r="K26" i="5"/>
  <c r="J26" i="5"/>
  <c r="I26" i="5"/>
  <c r="H26" i="5"/>
  <c r="G26" i="5"/>
  <c r="F26" i="5"/>
  <c r="R25" i="5"/>
  <c r="R24" i="5"/>
  <c r="R23" i="5"/>
  <c r="R22" i="5"/>
  <c r="R21" i="5"/>
  <c r="Q16" i="5"/>
  <c r="P16" i="5"/>
  <c r="O16" i="5"/>
  <c r="N16" i="5"/>
  <c r="M16" i="5"/>
  <c r="L16" i="5"/>
  <c r="K16" i="5"/>
  <c r="J16" i="5"/>
  <c r="H16" i="5"/>
  <c r="G16" i="5"/>
  <c r="F16" i="5"/>
  <c r="R15" i="5"/>
  <c r="R14" i="5"/>
  <c r="R13" i="5"/>
  <c r="R12" i="5"/>
  <c r="R11" i="5"/>
  <c r="R10" i="5"/>
  <c r="R9" i="5"/>
  <c r="R8" i="5"/>
  <c r="R26" i="5" l="1"/>
  <c r="R16" i="5"/>
  <c r="R9" i="4"/>
  <c r="R10" i="4"/>
  <c r="R11" i="4"/>
  <c r="R12" i="4"/>
  <c r="R13" i="4"/>
  <c r="R14" i="4"/>
  <c r="R15" i="4"/>
  <c r="R8" i="4"/>
  <c r="R22" i="4"/>
  <c r="R23" i="4"/>
  <c r="R24" i="4"/>
  <c r="R25" i="4"/>
  <c r="R21" i="4"/>
  <c r="O16" i="4" l="1"/>
  <c r="L64" i="1" l="1"/>
  <c r="J16" i="4" l="1"/>
  <c r="K64" i="1" l="1"/>
  <c r="F64" i="1" l="1"/>
  <c r="R64" i="1" l="1"/>
  <c r="Q64" i="1"/>
  <c r="P64" i="1"/>
  <c r="O64" i="1"/>
  <c r="N64" i="1"/>
  <c r="M64" i="1"/>
  <c r="J64" i="1"/>
  <c r="H64" i="1"/>
  <c r="G64" i="1"/>
  <c r="I64" i="1"/>
  <c r="Q26" i="4"/>
  <c r="P26" i="4"/>
  <c r="O26" i="4"/>
  <c r="N26" i="4"/>
  <c r="M26" i="4"/>
  <c r="L26" i="4"/>
  <c r="K26" i="4"/>
  <c r="J26" i="4"/>
  <c r="I26" i="4"/>
  <c r="H26" i="4"/>
  <c r="G26" i="4"/>
  <c r="F26" i="4"/>
  <c r="R26" i="4"/>
  <c r="Q16" i="4"/>
  <c r="P16" i="4"/>
  <c r="N16" i="4"/>
  <c r="M16" i="4"/>
  <c r="L16" i="4"/>
  <c r="K16" i="4"/>
  <c r="I16" i="4"/>
  <c r="H16" i="4"/>
  <c r="G16" i="4"/>
  <c r="F16" i="4"/>
  <c r="R16" i="4"/>
  <c r="K29" i="3"/>
  <c r="J29" i="3"/>
  <c r="I29" i="3"/>
  <c r="H29" i="3"/>
  <c r="G29" i="3"/>
  <c r="F29" i="3"/>
  <c r="K19" i="3"/>
  <c r="J19" i="3"/>
  <c r="I19" i="3"/>
  <c r="H19" i="3"/>
  <c r="G19" i="3"/>
  <c r="F19" i="3"/>
  <c r="Q26" i="2"/>
  <c r="P26" i="2"/>
  <c r="O26" i="2"/>
  <c r="N26" i="2"/>
  <c r="M26" i="2"/>
  <c r="L26" i="2"/>
  <c r="K26" i="2"/>
  <c r="J26" i="2"/>
  <c r="I26" i="2"/>
  <c r="H26" i="2"/>
  <c r="G26" i="2"/>
  <c r="F26" i="2"/>
  <c r="R25" i="2"/>
  <c r="R24" i="2"/>
  <c r="R23" i="2"/>
  <c r="R22" i="2"/>
  <c r="R21" i="2"/>
  <c r="Q16" i="2"/>
  <c r="P16" i="2"/>
  <c r="O16" i="2"/>
  <c r="N16" i="2"/>
  <c r="M16" i="2"/>
  <c r="L16" i="2"/>
  <c r="K16" i="2"/>
  <c r="J16" i="2"/>
  <c r="I16" i="2"/>
  <c r="H16" i="2"/>
  <c r="G16" i="2"/>
  <c r="F16" i="2"/>
  <c r="R15" i="2"/>
  <c r="R14" i="2"/>
  <c r="R13" i="2"/>
  <c r="R12" i="2"/>
  <c r="R11" i="2"/>
  <c r="R10" i="2"/>
  <c r="R9" i="2"/>
  <c r="R8" i="2"/>
  <c r="R50" i="1"/>
  <c r="Q50" i="1"/>
  <c r="P50" i="1"/>
  <c r="O50" i="1"/>
  <c r="N50" i="1"/>
  <c r="M50" i="1"/>
  <c r="L50" i="1"/>
  <c r="K50" i="1"/>
  <c r="J50" i="1"/>
  <c r="H50" i="1"/>
  <c r="G50" i="1"/>
  <c r="F50" i="1"/>
  <c r="I45" i="1"/>
  <c r="I50" i="1" s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R16" i="2" l="1"/>
  <c r="R2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Claire S</author>
  </authors>
  <commentList>
    <comment ref="F40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Claire S:</t>
        </r>
        <r>
          <rPr>
            <sz val="8"/>
            <color indexed="81"/>
            <rFont val="Tahoma"/>
            <family val="2"/>
          </rPr>
          <t xml:space="preserve">
budget will change each month too - check</t>
        </r>
      </text>
    </comment>
    <comment ref="F54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Claire S:</t>
        </r>
        <r>
          <rPr>
            <sz val="8"/>
            <color indexed="81"/>
            <rFont val="Tahoma"/>
            <family val="2"/>
          </rPr>
          <t xml:space="preserve">
budget will change each month too - check</t>
        </r>
      </text>
    </comment>
    <comment ref="F68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Claire S:</t>
        </r>
        <r>
          <rPr>
            <sz val="8"/>
            <color indexed="81"/>
            <rFont val="Tahoma"/>
            <family val="2"/>
          </rPr>
          <t xml:space="preserve">
budget will change each month too - check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L2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Recoding form bank to substantive - will be offset against cost on all other admin bank cost centres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Katharine Clarke</author>
  </authors>
  <commentList>
    <comment ref="I31" authorId="0" shapeId="0" xr:uid="{BEBA9245-BD6D-44B8-A2F3-9DE0E7004422}">
      <text>
        <r>
          <rPr>
            <b/>
            <sz val="9"/>
            <color indexed="81"/>
            <rFont val="Tahoma"/>
            <charset val="1"/>
          </rPr>
          <t>Katharine Clarke:</t>
        </r>
        <r>
          <rPr>
            <sz val="9"/>
            <color indexed="81"/>
            <rFont val="Tahoma"/>
            <charset val="1"/>
          </rPr>
          <t xml:space="preserve">
remainder off framework</t>
        </r>
      </text>
    </comment>
    <comment ref="L35" authorId="0" shapeId="0" xr:uid="{7AAE45E4-8150-415E-A157-A088692A1583}">
      <text>
        <r>
          <rPr>
            <b/>
            <sz val="9"/>
            <color indexed="81"/>
            <rFont val="Tahoma"/>
            <charset val="1"/>
          </rPr>
          <t>Katharine Clarke:</t>
        </r>
        <r>
          <rPr>
            <sz val="9"/>
            <color indexed="81"/>
            <rFont val="Tahoma"/>
            <charset val="1"/>
          </rPr>
          <t xml:space="preserve">
Backdated from prev weeks</t>
        </r>
      </text>
    </comment>
  </commentList>
</comments>
</file>

<file path=xl/sharedStrings.xml><?xml version="1.0" encoding="utf-8"?>
<sst xmlns="http://schemas.openxmlformats.org/spreadsheetml/2006/main" count="511" uniqueCount="100">
  <si>
    <t>LWH Staffing and Vacancy Data</t>
  </si>
  <si>
    <t>The data below shows the wte budget and the contracted wte each month for each of our staff groups</t>
  </si>
  <si>
    <t>If you want to find out how many vacancies we have in each category simply deduct the contracted number from the budget</t>
  </si>
  <si>
    <t>Financial Year 2017/18</t>
  </si>
  <si>
    <t>WTE</t>
  </si>
  <si>
    <t>Contracted</t>
  </si>
  <si>
    <t>STAFF GROUP</t>
  </si>
  <si>
    <t>BUDGET</t>
  </si>
  <si>
    <t>ADMINISTRATIVE AND CLERICAL</t>
  </si>
  <si>
    <t>CHAIRMAN AND NON-EXECUTIVES</t>
  </si>
  <si>
    <t>EXECUTIVE BOARD AND SENIOR MANAGERS</t>
  </si>
  <si>
    <t>HEALTHCARE ASSISTANTS AND OTHER SUPPORT STAFF</t>
  </si>
  <si>
    <t>MEDICAL AND DENTAL</t>
  </si>
  <si>
    <t>NURSING, MIDWIFERY AND HEALTH VISITING</t>
  </si>
  <si>
    <t>P.A.M.S.</t>
  </si>
  <si>
    <t>PROFESSIONAL AND TECHNICAL</t>
  </si>
  <si>
    <t>SCIENTIFIC AND PROFESSIONAL</t>
  </si>
  <si>
    <t>WTE TOTAL</t>
  </si>
  <si>
    <t>Financial Year 2018/19</t>
  </si>
  <si>
    <t>Financial Year 2019/20</t>
  </si>
  <si>
    <t>LWH Current Year Agency &amp; Bank Expenditure</t>
  </si>
  <si>
    <t>£000's</t>
  </si>
  <si>
    <t>YTD</t>
  </si>
  <si>
    <t>AGENCY</t>
  </si>
  <si>
    <t>Total</t>
  </si>
  <si>
    <t>SPECIALIST REGISTRARS</t>
  </si>
  <si>
    <t>CONSULTANTS</t>
  </si>
  <si>
    <t>NURSING</t>
  </si>
  <si>
    <t>PAMS</t>
  </si>
  <si>
    <t>ADMIN AND CLERICAL</t>
  </si>
  <si>
    <t>HCA</t>
  </si>
  <si>
    <t>OTHER</t>
  </si>
  <si>
    <t>OPERATING DEPARTMENT PRACTITIONER</t>
  </si>
  <si>
    <t>AGENCY TOTAL</t>
  </si>
  <si>
    <t>Please note that we undertook a full VAT review in Month 12 which resulted in a number f credits across all categories relating to the whole of 2019/20</t>
  </si>
  <si>
    <t>BANK</t>
  </si>
  <si>
    <t>BANK TOTAL</t>
  </si>
  <si>
    <t>LWH Historical Agency &amp; Bank Expenditure</t>
  </si>
  <si>
    <t>2013/14</t>
  </si>
  <si>
    <t>2014/15</t>
  </si>
  <si>
    <t>2015/16</t>
  </si>
  <si>
    <t>2016/17</t>
  </si>
  <si>
    <t>2017/18</t>
  </si>
  <si>
    <t>2018/19</t>
  </si>
  <si>
    <t>Financial Year 2020/21</t>
  </si>
  <si>
    <t>The data below shows agency and bank expenditure by staffing group by month for the current 2020/21 financial year</t>
  </si>
  <si>
    <t>2019/20</t>
  </si>
  <si>
    <t>The data below shows agency and bank expenditure by staffing group by month for the 2019/20 financial year</t>
  </si>
  <si>
    <t>-</t>
  </si>
  <si>
    <t>Financial Year 2021/22</t>
  </si>
  <si>
    <t>The data below shows agency and bank expenditure by staffing group by month for the current 2021/22 financial year</t>
  </si>
  <si>
    <t>2020/21</t>
  </si>
  <si>
    <t>The data below shows agency and bank expenditure by staffing group for the last 8 financial years</t>
  </si>
  <si>
    <t>SHIFTS WORKED</t>
  </si>
  <si>
    <t>TOTAL</t>
  </si>
  <si>
    <t>ON FRAMEWORK</t>
  </si>
  <si>
    <t>LWH Current Year Agency Shifts &amp; Breaches</t>
  </si>
  <si>
    <t>No. Shifts</t>
  </si>
  <si>
    <t>The data below shows the number of agency shifts worked, of those how many are on framework, and how many breached price cap by month for the current 2021/22 financial year</t>
  </si>
  <si>
    <t>Apr-21</t>
  </si>
  <si>
    <t>May-21</t>
  </si>
  <si>
    <t>TOTAL SHIFTS</t>
  </si>
  <si>
    <t>Theatres</t>
  </si>
  <si>
    <t>Gynae INP</t>
  </si>
  <si>
    <t>Hewitt ODP's</t>
  </si>
  <si>
    <t>Procurement A&amp;C</t>
  </si>
  <si>
    <t>IT</t>
  </si>
  <si>
    <t>Gynae GED Sonographer</t>
  </si>
  <si>
    <t>Maternity - midwife</t>
  </si>
  <si>
    <t>Consultants</t>
  </si>
  <si>
    <t>05.04</t>
  </si>
  <si>
    <t>No. Breaches</t>
  </si>
  <si>
    <t>03.05</t>
  </si>
  <si>
    <t>Jun-21</t>
  </si>
  <si>
    <t>Jul-21</t>
  </si>
  <si>
    <t>Oct-21</t>
  </si>
  <si>
    <t>Dec-21</t>
  </si>
  <si>
    <t>Jan-22</t>
  </si>
  <si>
    <t>Feb-22</t>
  </si>
  <si>
    <t>Mar-22</t>
  </si>
  <si>
    <t>STAFFING TYPE</t>
  </si>
  <si>
    <t>ROLES</t>
  </si>
  <si>
    <t>Nursing, Midwifery &amp; Health Visiting</t>
  </si>
  <si>
    <t>A&amp;C</t>
  </si>
  <si>
    <t>Scientific, Therapeutic &amp; Technical (AHPs)</t>
  </si>
  <si>
    <t>Medical &amp; Dental</t>
  </si>
  <si>
    <t>PRICE CAP BREACHES</t>
  </si>
  <si>
    <t>07.06</t>
  </si>
  <si>
    <t>14.06</t>
  </si>
  <si>
    <t>21.06</t>
  </si>
  <si>
    <t>28.06</t>
  </si>
  <si>
    <t>No. on Framework</t>
  </si>
  <si>
    <t>Trust Offices B4</t>
  </si>
  <si>
    <t>05.07</t>
  </si>
  <si>
    <t>12.07</t>
  </si>
  <si>
    <t>19.07</t>
  </si>
  <si>
    <t>26.07</t>
  </si>
  <si>
    <t>Genetics CSS</t>
  </si>
  <si>
    <t>Finance Interim HOFA</t>
  </si>
  <si>
    <t xml:space="preserve">Finance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</si>
</sst>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#,##0.00;\(#,##0.00\)"/>
    <numFmt numFmtId="165" formatCode="#,##0;\(#,##0\)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u/>
      <sz val="14"/>
      <name val="Calibri"/>
      <family val="2"/>
      <scheme val="minor"/>
    </font>
    <font>
      <u/>
      <sz val="10"/>
      <name val="Calibri"/>
      <family val="2"/>
      <scheme val="minor"/>
    </font>
    <font>
      <sz val="14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name val="Calibri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22E9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9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3" borderId="0" xfId="0" applyFont="1" applyFill="1" applyAlignment="1">
      <alignment vertical="top"/>
    </xf>
    <xf numFmtId="0" fontId="7" fillId="3" borderId="0" xfId="0" applyFont="1" applyFill="1"/>
    <xf numFmtId="0" fontId="7" fillId="2" borderId="0" xfId="0" applyFont="1" applyFill="1"/>
    <xf numFmtId="0" fontId="7" fillId="3" borderId="0" xfId="0" applyFont="1" applyFill="1" applyAlignment="1">
      <alignment wrapText="1"/>
    </xf>
    <xf numFmtId="17" fontId="7" fillId="2" borderId="0" xfId="0" applyNumberFormat="1" applyFont="1" applyFill="1"/>
    <xf numFmtId="17" fontId="7" fillId="3" borderId="0" xfId="0" applyNumberFormat="1" applyFont="1" applyFill="1"/>
    <xf numFmtId="0" fontId="8" fillId="2" borderId="0" xfId="0" applyFont="1" applyFill="1"/>
    <xf numFmtId="164" fontId="8" fillId="4" borderId="0" xfId="0" applyNumberFormat="1" applyFont="1" applyFill="1" applyBorder="1"/>
    <xf numFmtId="2" fontId="2" fillId="2" borderId="0" xfId="1" applyNumberFormat="1" applyFont="1" applyFill="1" applyBorder="1"/>
    <xf numFmtId="2" fontId="2" fillId="2" borderId="0" xfId="1" applyNumberFormat="1" applyFont="1" applyFill="1"/>
    <xf numFmtId="0" fontId="0" fillId="2" borderId="0" xfId="0" applyFill="1"/>
    <xf numFmtId="164" fontId="8" fillId="4" borderId="0" xfId="0" applyNumberFormat="1" applyFont="1" applyFill="1"/>
    <xf numFmtId="2" fontId="8" fillId="2" borderId="0" xfId="0" applyNumberFormat="1" applyFont="1" applyFill="1"/>
    <xf numFmtId="4" fontId="7" fillId="3" borderId="0" xfId="0" applyNumberFormat="1" applyFont="1" applyFill="1"/>
    <xf numFmtId="4" fontId="7" fillId="2" borderId="0" xfId="0" applyNumberFormat="1" applyFont="1" applyFill="1"/>
    <xf numFmtId="164" fontId="0" fillId="2" borderId="0" xfId="0" applyNumberFormat="1" applyFont="1" applyFill="1"/>
    <xf numFmtId="164" fontId="0" fillId="2" borderId="0" xfId="0" applyNumberFormat="1" applyFill="1"/>
    <xf numFmtId="4" fontId="0" fillId="2" borderId="0" xfId="0" applyNumberFormat="1" applyFill="1"/>
    <xf numFmtId="17" fontId="7" fillId="3" borderId="0" xfId="0" applyNumberFormat="1" applyFont="1" applyFill="1" applyAlignment="1">
      <alignment horizontal="center"/>
    </xf>
    <xf numFmtId="17" fontId="7" fillId="3" borderId="0" xfId="0" applyNumberFormat="1" applyFont="1" applyFill="1" applyAlignment="1"/>
    <xf numFmtId="41" fontId="2" fillId="2" borderId="0" xfId="1" applyNumberFormat="1" applyFont="1" applyFill="1" applyAlignment="1">
      <alignment horizontal="center"/>
    </xf>
    <xf numFmtId="165" fontId="0" fillId="2" borderId="0" xfId="0" applyNumberFormat="1" applyFill="1"/>
    <xf numFmtId="165" fontId="2" fillId="2" borderId="0" xfId="1" applyNumberFormat="1" applyFont="1" applyFill="1"/>
    <xf numFmtId="1" fontId="2" fillId="2" borderId="0" xfId="1" applyNumberFormat="1" applyFont="1" applyFill="1"/>
    <xf numFmtId="41" fontId="8" fillId="2" borderId="0" xfId="0" applyNumberFormat="1" applyFont="1" applyFill="1" applyAlignment="1">
      <alignment horizontal="center"/>
    </xf>
    <xf numFmtId="41" fontId="7" fillId="3" borderId="0" xfId="0" applyNumberFormat="1" applyFont="1" applyFill="1" applyAlignment="1">
      <alignment horizontal="center"/>
    </xf>
    <xf numFmtId="41" fontId="0" fillId="2" borderId="0" xfId="1" applyNumberFormat="1" applyFont="1" applyFill="1" applyAlignment="1">
      <alignment horizontal="right"/>
    </xf>
    <xf numFmtId="41" fontId="12" fillId="2" borderId="0" xfId="1" applyNumberFormat="1" applyFont="1" applyFill="1" applyAlignment="1">
      <alignment horizontal="center"/>
    </xf>
    <xf numFmtId="165" fontId="0" fillId="2" borderId="0" xfId="0" applyNumberFormat="1" applyFill="1" applyAlignment="1">
      <alignment horizontal="right"/>
    </xf>
    <xf numFmtId="43" fontId="0" fillId="2" borderId="0" xfId="14" applyFont="1" applyFill="1"/>
    <xf numFmtId="165" fontId="12" fillId="2" borderId="0" xfId="0" applyNumberFormat="1" applyFont="1" applyFill="1"/>
    <xf numFmtId="2" fontId="2" fillId="0" borderId="0" xfId="1" applyNumberFormat="1" applyFont="1" applyFill="1"/>
    <xf numFmtId="165" fontId="0" fillId="0" borderId="0" xfId="0" applyNumberFormat="1" applyFill="1"/>
    <xf numFmtId="17" fontId="0" fillId="0" borderId="0" xfId="0" applyNumberFormat="1"/>
    <xf numFmtId="0" fontId="0" fillId="0" borderId="0" xfId="0" applyAlignment="1">
      <alignment horizontal="center"/>
    </xf>
    <xf numFmtId="0" fontId="7" fillId="3" borderId="0" xfId="0" applyNumberFormat="1" applyFont="1" applyFill="1" applyAlignment="1">
      <alignment horizontal="center" vertical="center"/>
    </xf>
    <xf numFmtId="0" fontId="7" fillId="3" borderId="0" xfId="0" applyFont="1" applyFill="1" applyAlignment="1">
      <alignment horizontal="center"/>
    </xf>
    <xf numFmtId="17" fontId="0" fillId="0" borderId="0" xfId="0" applyNumberFormat="1" applyFont="1"/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quotePrefix="1" applyFont="1"/>
    <xf numFmtId="0" fontId="15" fillId="0" borderId="1" xfId="0" applyFont="1" applyBorder="1" applyAlignment="1">
      <alignment horizontal="center"/>
    </xf>
    <xf numFmtId="0" fontId="15" fillId="0" borderId="0" xfId="0" quotePrefix="1" applyFont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5" fillId="6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/>
    <xf numFmtId="16" fontId="15" fillId="0" borderId="0" xfId="0" quotePrefix="1" applyNumberFormat="1" applyFont="1" applyAlignment="1">
      <alignment horizontal="center"/>
    </xf>
    <xf numFmtId="0" fontId="15" fillId="0" borderId="0" xfId="0" applyFont="1" applyAlignment="1">
      <alignment horizontal="center"/>
    </xf>
    <xf numFmtId="17" fontId="15" fillId="0" borderId="0" xfId="0" quotePrefix="1" applyNumberFormat="1" applyFont="1"/>
    <xf numFmtId="17" fontId="7" fillId="3" borderId="0" xfId="0" applyNumberFormat="1" applyFont="1" applyFill="1" applyAlignment="1">
      <alignment horizontal="center" wrapText="1"/>
    </xf>
    <xf numFmtId="0" fontId="7" fillId="3" borderId="0" xfId="0" quotePrefix="1" applyFont="1" applyFill="1" applyAlignment="1">
      <alignment horizontal="center"/>
    </xf>
    <xf numFmtId="17" fontId="7" fillId="3" borderId="0" xfId="0" quotePrefix="1" applyNumberFormat="1" applyFont="1" applyFill="1" applyAlignment="1">
      <alignment horizontal="center"/>
    </xf>
    <xf numFmtId="0" fontId="15" fillId="0" borderId="0" xfId="0" applyFont="1" applyAlignment="1">
      <alignment horizontal="center"/>
    </xf>
  </cellXfs>
  <cellStyles count="15">
    <cellStyle name="Comma" xfId="14" builtinId="3"/>
    <cellStyle name="Comma 2" xfId="2" xr:uid="{00000000-0005-0000-0000-000001000000}"/>
    <cellStyle name="Comma 3" xfId="3" xr:uid="{00000000-0005-0000-0000-000002000000}"/>
    <cellStyle name="Normal" xfId="0" builtinId="0"/>
    <cellStyle name="Normal 2" xfId="1" xr:uid="{00000000-0005-0000-0000-000004000000}"/>
    <cellStyle name="Normal 3" xfId="4" xr:uid="{00000000-0005-0000-0000-000005000000}"/>
    <cellStyle name="Normal 4" xfId="5" xr:uid="{00000000-0005-0000-0000-000006000000}"/>
    <cellStyle name="Normal 4 2" xfId="6" xr:uid="{00000000-0005-0000-0000-000007000000}"/>
    <cellStyle name="Normal 5" xfId="7" xr:uid="{00000000-0005-0000-0000-000008000000}"/>
    <cellStyle name="Normal 6" xfId="8" xr:uid="{00000000-0005-0000-0000-000009000000}"/>
    <cellStyle name="Normal 7" xfId="9" xr:uid="{00000000-0005-0000-0000-00000A000000}"/>
    <cellStyle name="Normal 8" xfId="10" xr:uid="{00000000-0005-0000-0000-00000B000000}"/>
    <cellStyle name="Normal 8 2" xfId="11" xr:uid="{00000000-0005-0000-0000-00000C000000}"/>
    <cellStyle name="Normal 9" xfId="12" xr:uid="{00000000-0005-0000-0000-00000D000000}"/>
    <cellStyle name="Percent 2" xfId="13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333375</xdr:colOff>
      <xdr:row>0</xdr:row>
      <xdr:rowOff>107157</xdr:rowOff>
    </xdr:from>
    <xdr:to>
      <xdr:col>18</xdr:col>
      <xdr:colOff>116417</xdr:colOff>
      <xdr:row>5</xdr:row>
      <xdr:rowOff>146696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01000" y="107157"/>
          <a:ext cx="2211917" cy="9444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95250</xdr:colOff>
      <xdr:row>0</xdr:row>
      <xdr:rowOff>0</xdr:rowOff>
    </xdr:from>
    <xdr:to>
      <xdr:col>19</xdr:col>
      <xdr:colOff>1075267</xdr:colOff>
      <xdr:row>4</xdr:row>
      <xdr:rowOff>55414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48800" y="0"/>
          <a:ext cx="2199217" cy="9317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95250</xdr:colOff>
      <xdr:row>0</xdr:row>
      <xdr:rowOff>0</xdr:rowOff>
    </xdr:from>
    <xdr:to>
      <xdr:col>20</xdr:col>
      <xdr:colOff>465667</xdr:colOff>
      <xdr:row>4</xdr:row>
      <xdr:rowOff>55414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03833" y="0"/>
          <a:ext cx="2211917" cy="94441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314325</xdr:colOff>
      <xdr:row>0</xdr:row>
      <xdr:rowOff>66675</xdr:rowOff>
    </xdr:from>
    <xdr:to>
      <xdr:col>12</xdr:col>
      <xdr:colOff>1084792</xdr:colOff>
      <xdr:row>6</xdr:row>
      <xdr:rowOff>26839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2750" y="66675"/>
          <a:ext cx="2199217" cy="93171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Old/Phil%20W/2013-2014/M10/M10%20Transaction%20Statements/M10%20MH%20Trial%20Balance%20Statement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Pivot- All"/>
      <sheetName val="Pivot- Single"/>
      <sheetName val="Nurse Staffing"/>
      <sheetName val="HCA Staffing"/>
      <sheetName val="Bank Nursing"/>
      <sheetName val="MH Trial Balance Report"/>
      <sheetName val="BneWorkBookProperties"/>
      <sheetName val="WTE"/>
      <sheetName val="Pivot-_All"/>
      <sheetName val="Pivot-_Single"/>
      <sheetName val="Nurse_Staffing"/>
      <sheetName val="HCA_Staffing"/>
      <sheetName val="Bank_Nursing"/>
      <sheetName val="MH_Trial_Balance_Report"/>
      <sheetName val="Pivot-_All1"/>
      <sheetName val="Pivot-_Single1"/>
      <sheetName val="Nurse_Staffing1"/>
      <sheetName val="HCA_Staffing1"/>
      <sheetName val="Bank_Nursing1"/>
      <sheetName val="MH_Trial_Balance_Report1"/>
      <sheetName val="Sheet2"/>
    </sheetNames>
    <sheetDataSet>
      <sheetData sheetId="0">
        <row r="166">
          <cell r="A166" t="str">
            <v>Recover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AA78"/>
  <sheetViews>
    <sheetView zoomScale="80" zoomScaleNormal="80" workbookViewId="0">
      <selection activeCell="F79" sqref="F79"/>
    </sheetView>
  </sheetViews>
  <sheetFormatPr defaultColWidth="9.140625" defaultRowHeight="12.75" x14ac:dyDescent="0.2"/>
  <cols>
    <col min="1" max="1" width="4" style="15" customWidth="1"/>
    <col min="2" max="2" width="9.85546875" style="15" customWidth="1"/>
    <col min="3" max="4" width="9.140625" style="15"/>
    <col min="5" max="5" width="1.140625" style="15" customWidth="1"/>
    <col min="6" max="18" width="9.140625" style="15"/>
    <col min="19" max="19" width="1.85546875" style="15" customWidth="1"/>
    <col min="20" max="16384" width="9.140625" style="15"/>
  </cols>
  <sheetData>
    <row r="1" spans="2:19" s="1" customFormat="1" x14ac:dyDescent="0.2"/>
    <row r="2" spans="2:19" s="1" customFormat="1" x14ac:dyDescent="0.2"/>
    <row r="3" spans="2:19" s="1" customFormat="1" ht="18.75" x14ac:dyDescent="0.3">
      <c r="B3" s="2" t="s">
        <v>0</v>
      </c>
      <c r="C3" s="3"/>
      <c r="D3" s="3"/>
      <c r="E3" s="3"/>
      <c r="F3" s="3"/>
    </row>
    <row r="4" spans="2:19" s="1" customFormat="1" x14ac:dyDescent="0.2"/>
    <row r="5" spans="2:19" s="1" customFormat="1" x14ac:dyDescent="0.2"/>
    <row r="6" spans="2:19" s="1" customFormat="1" ht="18.75" x14ac:dyDescent="0.3">
      <c r="B6" s="4" t="s">
        <v>1</v>
      </c>
    </row>
    <row r="7" spans="2:19" s="1" customFormat="1" ht="18.75" x14ac:dyDescent="0.3">
      <c r="B7" s="4" t="s">
        <v>2</v>
      </c>
    </row>
    <row r="8" spans="2:19" s="1" customFormat="1" x14ac:dyDescent="0.2"/>
    <row r="9" spans="2:19" s="1" customFormat="1" x14ac:dyDescent="0.2"/>
    <row r="10" spans="2:19" s="1" customFormat="1" x14ac:dyDescent="0.2"/>
    <row r="11" spans="2:19" s="1" customFormat="1" x14ac:dyDescent="0.2">
      <c r="B11" s="5" t="s">
        <v>3</v>
      </c>
      <c r="C11" s="6"/>
      <c r="D11" s="6"/>
      <c r="E11" s="7"/>
      <c r="F11" s="8" t="s">
        <v>4</v>
      </c>
      <c r="G11" s="55" t="s">
        <v>5</v>
      </c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9"/>
    </row>
    <row r="12" spans="2:19" s="1" customFormat="1" x14ac:dyDescent="0.2">
      <c r="B12" s="6" t="s">
        <v>6</v>
      </c>
      <c r="C12" s="6"/>
      <c r="D12" s="6"/>
      <c r="E12" s="7"/>
      <c r="F12" s="8" t="s">
        <v>7</v>
      </c>
      <c r="G12" s="10">
        <v>42826</v>
      </c>
      <c r="H12" s="10">
        <v>42856</v>
      </c>
      <c r="I12" s="10">
        <v>42887</v>
      </c>
      <c r="J12" s="10">
        <v>42917</v>
      </c>
      <c r="K12" s="10">
        <v>42948</v>
      </c>
      <c r="L12" s="10">
        <v>42979</v>
      </c>
      <c r="M12" s="10">
        <v>43009</v>
      </c>
      <c r="N12" s="10">
        <v>43040</v>
      </c>
      <c r="O12" s="10">
        <v>43070</v>
      </c>
      <c r="P12" s="10">
        <v>43101</v>
      </c>
      <c r="Q12" s="10">
        <v>43132</v>
      </c>
      <c r="R12" s="10">
        <v>43160</v>
      </c>
      <c r="S12" s="9"/>
    </row>
    <row r="13" spans="2:19" s="1" customFormat="1" x14ac:dyDescent="0.2">
      <c r="B13" s="11" t="s">
        <v>8</v>
      </c>
      <c r="C13" s="11"/>
      <c r="D13" s="11"/>
      <c r="E13" s="11"/>
      <c r="F13" s="12">
        <v>229.55</v>
      </c>
      <c r="G13" s="13">
        <v>232.16</v>
      </c>
      <c r="H13" s="14">
        <v>222.93</v>
      </c>
      <c r="I13" s="14">
        <v>228.54</v>
      </c>
      <c r="J13" s="14">
        <v>226.61</v>
      </c>
      <c r="K13" s="14">
        <v>225.4</v>
      </c>
      <c r="L13" s="14">
        <v>219.88</v>
      </c>
      <c r="M13" s="14">
        <v>218.56</v>
      </c>
      <c r="N13" s="14">
        <v>227.63</v>
      </c>
      <c r="O13" s="14">
        <v>218.3</v>
      </c>
      <c r="P13" s="14">
        <v>216.78</v>
      </c>
      <c r="Q13" s="14">
        <v>222.56</v>
      </c>
      <c r="R13" s="14">
        <v>216.67</v>
      </c>
      <c r="S13" s="14"/>
    </row>
    <row r="14" spans="2:19" s="1" customFormat="1" x14ac:dyDescent="0.2">
      <c r="B14" s="15" t="s">
        <v>9</v>
      </c>
      <c r="C14" s="11"/>
      <c r="D14" s="11"/>
      <c r="E14" s="11"/>
      <c r="F14" s="12">
        <v>8</v>
      </c>
      <c r="G14" s="13">
        <v>8</v>
      </c>
      <c r="H14" s="14">
        <v>8</v>
      </c>
      <c r="I14" s="14">
        <v>8</v>
      </c>
      <c r="J14" s="14">
        <v>8</v>
      </c>
      <c r="K14" s="14">
        <v>8</v>
      </c>
      <c r="L14" s="14">
        <v>8</v>
      </c>
      <c r="M14" s="14">
        <v>8</v>
      </c>
      <c r="N14" s="14">
        <v>8</v>
      </c>
      <c r="O14" s="14">
        <v>8</v>
      </c>
      <c r="P14" s="14">
        <v>8</v>
      </c>
      <c r="Q14" s="14">
        <v>8</v>
      </c>
      <c r="R14" s="14">
        <v>8</v>
      </c>
      <c r="S14" s="14"/>
    </row>
    <row r="15" spans="2:19" s="1" customFormat="1" x14ac:dyDescent="0.2">
      <c r="B15" s="15" t="s">
        <v>10</v>
      </c>
      <c r="C15" s="11"/>
      <c r="D15" s="11"/>
      <c r="E15" s="11"/>
      <c r="F15" s="12">
        <v>48.35</v>
      </c>
      <c r="G15" s="13">
        <v>43.12</v>
      </c>
      <c r="H15" s="14">
        <v>49.27</v>
      </c>
      <c r="I15" s="14">
        <v>50.17</v>
      </c>
      <c r="J15" s="14">
        <v>50.17</v>
      </c>
      <c r="K15" s="14">
        <v>50.17</v>
      </c>
      <c r="L15" s="14">
        <v>50.17</v>
      </c>
      <c r="M15" s="14">
        <v>47.56</v>
      </c>
      <c r="N15" s="14">
        <v>47.16</v>
      </c>
      <c r="O15" s="14">
        <v>48.06</v>
      </c>
      <c r="P15" s="14">
        <v>51.06</v>
      </c>
      <c r="Q15" s="14">
        <v>48.56</v>
      </c>
      <c r="R15" s="14">
        <v>47.06</v>
      </c>
      <c r="S15" s="14"/>
    </row>
    <row r="16" spans="2:19" s="1" customFormat="1" x14ac:dyDescent="0.2">
      <c r="B16" s="15" t="s">
        <v>11</v>
      </c>
      <c r="C16" s="11"/>
      <c r="D16" s="11"/>
      <c r="E16" s="11"/>
      <c r="F16" s="12">
        <v>179.94</v>
      </c>
      <c r="G16" s="13">
        <v>168.97</v>
      </c>
      <c r="H16" s="14">
        <v>167.45</v>
      </c>
      <c r="I16" s="14">
        <v>166.89</v>
      </c>
      <c r="J16" s="14">
        <v>166.98</v>
      </c>
      <c r="K16" s="14">
        <v>168.93</v>
      </c>
      <c r="L16" s="14">
        <v>173.92</v>
      </c>
      <c r="M16" s="14">
        <v>170.4</v>
      </c>
      <c r="N16" s="14">
        <v>168.64</v>
      </c>
      <c r="O16" s="14">
        <v>166.47</v>
      </c>
      <c r="P16" s="14">
        <v>166.88</v>
      </c>
      <c r="Q16" s="14">
        <v>166.5</v>
      </c>
      <c r="R16" s="14">
        <v>168.32</v>
      </c>
      <c r="S16" s="14"/>
    </row>
    <row r="17" spans="2:19" s="1" customFormat="1" x14ac:dyDescent="0.2">
      <c r="B17" s="15" t="s">
        <v>12</v>
      </c>
      <c r="C17" s="11"/>
      <c r="D17" s="11"/>
      <c r="E17" s="11"/>
      <c r="F17" s="12">
        <v>143.27000000000001</v>
      </c>
      <c r="G17" s="13">
        <v>124.31</v>
      </c>
      <c r="H17" s="14">
        <v>131.78</v>
      </c>
      <c r="I17" s="14">
        <v>131.68</v>
      </c>
      <c r="J17" s="14">
        <v>149.05000000000001</v>
      </c>
      <c r="K17" s="14">
        <v>129.63</v>
      </c>
      <c r="L17" s="14">
        <v>138.38</v>
      </c>
      <c r="M17" s="14">
        <v>140.96</v>
      </c>
      <c r="N17" s="14">
        <v>135.47999999999999</v>
      </c>
      <c r="O17" s="14">
        <v>140.28</v>
      </c>
      <c r="P17" s="14">
        <v>139.57</v>
      </c>
      <c r="Q17" s="14">
        <v>151.71</v>
      </c>
      <c r="R17" s="14">
        <v>143.38999999999999</v>
      </c>
      <c r="S17" s="14"/>
    </row>
    <row r="18" spans="2:19" s="1" customFormat="1" x14ac:dyDescent="0.2">
      <c r="B18" s="15" t="s">
        <v>13</v>
      </c>
      <c r="C18" s="11"/>
      <c r="D18" s="11"/>
      <c r="E18" s="11"/>
      <c r="F18" s="12">
        <v>663.13</v>
      </c>
      <c r="G18" s="13">
        <v>641.03</v>
      </c>
      <c r="H18" s="14">
        <v>632.77</v>
      </c>
      <c r="I18" s="14">
        <v>623.83000000000004</v>
      </c>
      <c r="J18" s="14">
        <v>623.79999999999995</v>
      </c>
      <c r="K18" s="14">
        <v>628.04</v>
      </c>
      <c r="L18" s="14">
        <v>636.1</v>
      </c>
      <c r="M18" s="14">
        <v>642.29</v>
      </c>
      <c r="N18" s="14">
        <v>637.48</v>
      </c>
      <c r="O18" s="14">
        <v>627.29</v>
      </c>
      <c r="P18" s="14">
        <v>617.92999999999995</v>
      </c>
      <c r="Q18" s="14">
        <v>623.04999999999995</v>
      </c>
      <c r="R18" s="14">
        <v>613.76</v>
      </c>
      <c r="S18" s="14"/>
    </row>
    <row r="19" spans="2:19" s="1" customFormat="1" x14ac:dyDescent="0.2">
      <c r="B19" s="15" t="s">
        <v>14</v>
      </c>
      <c r="C19" s="11"/>
      <c r="D19" s="11"/>
      <c r="E19" s="11"/>
      <c r="F19" s="12">
        <v>22.28</v>
      </c>
      <c r="G19" s="13">
        <v>17.96</v>
      </c>
      <c r="H19" s="14">
        <v>17.05</v>
      </c>
      <c r="I19" s="14">
        <v>17.053999999999998</v>
      </c>
      <c r="J19" s="14">
        <v>17.05</v>
      </c>
      <c r="K19" s="14">
        <v>16.48</v>
      </c>
      <c r="L19" s="14">
        <v>17.48</v>
      </c>
      <c r="M19" s="14">
        <v>16.989999999999998</v>
      </c>
      <c r="N19" s="14">
        <v>16.559999999999999</v>
      </c>
      <c r="O19" s="14">
        <v>18.05</v>
      </c>
      <c r="P19" s="14">
        <v>18.940000000000001</v>
      </c>
      <c r="Q19" s="14">
        <v>18.940000000000001</v>
      </c>
      <c r="R19" s="14">
        <v>19.05</v>
      </c>
      <c r="S19" s="14"/>
    </row>
    <row r="20" spans="2:19" s="1" customFormat="1" x14ac:dyDescent="0.2">
      <c r="B20" s="15" t="s">
        <v>15</v>
      </c>
      <c r="C20" s="11"/>
      <c r="D20" s="11"/>
      <c r="E20" s="11"/>
      <c r="F20" s="12">
        <v>72.319999999999993</v>
      </c>
      <c r="G20" s="13">
        <v>64.28</v>
      </c>
      <c r="H20" s="14">
        <v>65.56</v>
      </c>
      <c r="I20" s="14">
        <v>67.150000000000006</v>
      </c>
      <c r="J20" s="14">
        <v>63.55</v>
      </c>
      <c r="K20" s="14">
        <v>63.55</v>
      </c>
      <c r="L20" s="14">
        <v>66.55</v>
      </c>
      <c r="M20" s="14">
        <v>68.5</v>
      </c>
      <c r="N20" s="14">
        <v>71.5</v>
      </c>
      <c r="O20" s="14">
        <v>70.69</v>
      </c>
      <c r="P20" s="14">
        <v>71.22</v>
      </c>
      <c r="Q20" s="14">
        <v>68.86</v>
      </c>
      <c r="R20" s="14">
        <v>65.53</v>
      </c>
      <c r="S20" s="14"/>
    </row>
    <row r="21" spans="2:19" x14ac:dyDescent="0.2">
      <c r="B21" s="15" t="s">
        <v>16</v>
      </c>
      <c r="C21" s="11"/>
      <c r="D21" s="11"/>
      <c r="E21" s="11"/>
      <c r="F21" s="16">
        <v>54.77</v>
      </c>
      <c r="G21" s="17">
        <v>51.83</v>
      </c>
      <c r="H21" s="17">
        <v>52.49</v>
      </c>
      <c r="I21" s="17">
        <v>52.49</v>
      </c>
      <c r="J21" s="17">
        <v>54.69</v>
      </c>
      <c r="K21" s="17">
        <v>55.4</v>
      </c>
      <c r="L21" s="17">
        <v>54.46</v>
      </c>
      <c r="M21" s="17">
        <v>59.07</v>
      </c>
      <c r="N21" s="17">
        <v>58.07</v>
      </c>
      <c r="O21" s="17">
        <v>58.27</v>
      </c>
      <c r="P21" s="17">
        <v>56.87</v>
      </c>
      <c r="Q21" s="17">
        <v>56.62</v>
      </c>
      <c r="R21" s="17">
        <v>59.22</v>
      </c>
      <c r="S21" s="17"/>
    </row>
    <row r="22" spans="2:19" x14ac:dyDescent="0.2">
      <c r="B22" s="6" t="s">
        <v>17</v>
      </c>
      <c r="C22" s="6"/>
      <c r="D22" s="6"/>
      <c r="E22" s="7"/>
      <c r="F22" s="18">
        <f>SUM(F13:F21)</f>
        <v>1421.61</v>
      </c>
      <c r="G22" s="18">
        <f>SUM(G13:G21)</f>
        <v>1351.6599999999999</v>
      </c>
      <c r="H22" s="18">
        <f t="shared" ref="H22:R22" si="0">SUM(H13:H21)</f>
        <v>1347.2999999999997</v>
      </c>
      <c r="I22" s="18">
        <f t="shared" si="0"/>
        <v>1345.8040000000003</v>
      </c>
      <c r="J22" s="18">
        <f t="shared" si="0"/>
        <v>1359.8999999999999</v>
      </c>
      <c r="K22" s="18">
        <f t="shared" si="0"/>
        <v>1345.6000000000001</v>
      </c>
      <c r="L22" s="18">
        <f t="shared" si="0"/>
        <v>1364.94</v>
      </c>
      <c r="M22" s="18">
        <f t="shared" si="0"/>
        <v>1372.33</v>
      </c>
      <c r="N22" s="18">
        <f>SUM(N13:N21)</f>
        <v>1370.5199999999998</v>
      </c>
      <c r="O22" s="18">
        <f t="shared" si="0"/>
        <v>1355.41</v>
      </c>
      <c r="P22" s="18">
        <f t="shared" si="0"/>
        <v>1347.2499999999998</v>
      </c>
      <c r="Q22" s="18">
        <f t="shared" si="0"/>
        <v>1364.8</v>
      </c>
      <c r="R22" s="18">
        <f t="shared" si="0"/>
        <v>1341</v>
      </c>
      <c r="S22" s="19"/>
    </row>
    <row r="24" spans="2:19" x14ac:dyDescent="0.2">
      <c r="G24" s="15">
        <v>1</v>
      </c>
      <c r="H24" s="15">
        <v>2</v>
      </c>
      <c r="I24" s="15">
        <v>3</v>
      </c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5">
        <v>11</v>
      </c>
      <c r="R24" s="15">
        <v>12</v>
      </c>
    </row>
    <row r="25" spans="2:19" x14ac:dyDescent="0.2">
      <c r="B25" s="5" t="s">
        <v>18</v>
      </c>
      <c r="C25" s="6"/>
      <c r="D25" s="6"/>
      <c r="F25" s="8" t="s">
        <v>4</v>
      </c>
      <c r="G25" s="55" t="s">
        <v>5</v>
      </c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</row>
    <row r="26" spans="2:19" x14ac:dyDescent="0.2">
      <c r="B26" s="6" t="s">
        <v>6</v>
      </c>
      <c r="C26" s="6"/>
      <c r="D26" s="6"/>
      <c r="F26" s="8" t="s">
        <v>7</v>
      </c>
      <c r="G26" s="10">
        <v>43191</v>
      </c>
      <c r="H26" s="10">
        <v>43221</v>
      </c>
      <c r="I26" s="10">
        <v>43252</v>
      </c>
      <c r="J26" s="10">
        <v>43282</v>
      </c>
      <c r="K26" s="10">
        <v>43313</v>
      </c>
      <c r="L26" s="10">
        <v>43344</v>
      </c>
      <c r="M26" s="10">
        <v>43374</v>
      </c>
      <c r="N26" s="10">
        <v>43405</v>
      </c>
      <c r="O26" s="10">
        <v>43435</v>
      </c>
      <c r="P26" s="10">
        <v>43466</v>
      </c>
      <c r="Q26" s="10">
        <v>43497</v>
      </c>
      <c r="R26" s="10">
        <v>43525</v>
      </c>
    </row>
    <row r="27" spans="2:19" x14ac:dyDescent="0.2">
      <c r="B27" s="11" t="s">
        <v>8</v>
      </c>
      <c r="C27" s="11"/>
      <c r="D27" s="11"/>
      <c r="F27" s="16">
        <v>226.34</v>
      </c>
      <c r="G27" s="13">
        <v>209.61</v>
      </c>
      <c r="H27" s="13">
        <v>211.87</v>
      </c>
      <c r="I27" s="13">
        <v>205.32</v>
      </c>
      <c r="J27" s="13">
        <v>204.44</v>
      </c>
      <c r="K27" s="13">
        <v>204.85</v>
      </c>
      <c r="L27" s="13">
        <v>201.35</v>
      </c>
      <c r="M27" s="13">
        <v>200.65</v>
      </c>
      <c r="N27" s="20">
        <v>204.72</v>
      </c>
      <c r="O27" s="20">
        <v>205.66000000000003</v>
      </c>
      <c r="P27" s="20">
        <v>208.76</v>
      </c>
      <c r="Q27" s="20">
        <v>201.83</v>
      </c>
      <c r="R27" s="20">
        <v>210.58</v>
      </c>
    </row>
    <row r="28" spans="2:19" x14ac:dyDescent="0.2">
      <c r="B28" s="15" t="s">
        <v>9</v>
      </c>
      <c r="C28" s="11"/>
      <c r="D28" s="11"/>
      <c r="F28" s="16">
        <v>8</v>
      </c>
      <c r="G28" s="13">
        <v>8</v>
      </c>
      <c r="H28" s="13">
        <v>7</v>
      </c>
      <c r="I28" s="13">
        <v>7</v>
      </c>
      <c r="J28" s="13">
        <v>7</v>
      </c>
      <c r="K28" s="13">
        <v>7</v>
      </c>
      <c r="L28" s="13">
        <v>7</v>
      </c>
      <c r="M28" s="13">
        <v>6</v>
      </c>
      <c r="N28" s="20">
        <v>6</v>
      </c>
      <c r="O28" s="20">
        <v>6</v>
      </c>
      <c r="P28" s="20">
        <v>6</v>
      </c>
      <c r="Q28" s="20">
        <v>6</v>
      </c>
      <c r="R28" s="20">
        <v>7</v>
      </c>
    </row>
    <row r="29" spans="2:19" x14ac:dyDescent="0.2">
      <c r="B29" s="15" t="s">
        <v>10</v>
      </c>
      <c r="C29" s="11"/>
      <c r="D29" s="11"/>
      <c r="F29" s="16">
        <v>51.02</v>
      </c>
      <c r="G29" s="13">
        <v>47.71</v>
      </c>
      <c r="H29" s="13">
        <v>50.56</v>
      </c>
      <c r="I29" s="13">
        <v>48.71</v>
      </c>
      <c r="J29" s="13">
        <v>51.71</v>
      </c>
      <c r="K29" s="13">
        <v>51.67</v>
      </c>
      <c r="L29" s="13">
        <v>49.47</v>
      </c>
      <c r="M29" s="13">
        <v>46.27</v>
      </c>
      <c r="N29" s="21">
        <v>45.269999999999996</v>
      </c>
      <c r="O29" s="21">
        <v>45.76</v>
      </c>
      <c r="P29" s="21">
        <v>48.67</v>
      </c>
      <c r="Q29" s="21">
        <v>51.11</v>
      </c>
      <c r="R29" s="21">
        <v>49.83</v>
      </c>
    </row>
    <row r="30" spans="2:19" x14ac:dyDescent="0.2">
      <c r="B30" s="15" t="s">
        <v>11</v>
      </c>
      <c r="C30" s="11"/>
      <c r="D30" s="11"/>
      <c r="F30" s="16">
        <v>174.77</v>
      </c>
      <c r="G30" s="13">
        <v>169.31</v>
      </c>
      <c r="H30" s="13">
        <v>165.92</v>
      </c>
      <c r="I30" s="13">
        <v>163.97</v>
      </c>
      <c r="J30" s="13">
        <v>166.46</v>
      </c>
      <c r="K30" s="13">
        <v>168.99</v>
      </c>
      <c r="L30" s="13">
        <v>164.72</v>
      </c>
      <c r="M30" s="13">
        <v>162.91</v>
      </c>
      <c r="N30" s="21">
        <v>161.72</v>
      </c>
      <c r="O30" s="21">
        <v>162.85999999999999</v>
      </c>
      <c r="P30" s="21">
        <v>163.41999999999999</v>
      </c>
      <c r="Q30" s="21">
        <v>166.21999999999994</v>
      </c>
      <c r="R30" s="21">
        <v>166.49999999999997</v>
      </c>
    </row>
    <row r="31" spans="2:19" x14ac:dyDescent="0.2">
      <c r="B31" s="15" t="s">
        <v>12</v>
      </c>
      <c r="C31" s="11"/>
      <c r="D31" s="11"/>
      <c r="F31" s="16">
        <v>155.03</v>
      </c>
      <c r="G31" s="13">
        <v>153.08000000000001</v>
      </c>
      <c r="H31" s="13">
        <v>142.85</v>
      </c>
      <c r="I31" s="13">
        <v>140.22999999999999</v>
      </c>
      <c r="J31" s="13">
        <v>140.85</v>
      </c>
      <c r="K31" s="13">
        <v>150.13</v>
      </c>
      <c r="L31" s="13">
        <v>158.58000000000001</v>
      </c>
      <c r="M31" s="13">
        <v>158.93</v>
      </c>
      <c r="N31" s="21">
        <v>154.66000000000003</v>
      </c>
      <c r="O31" s="21">
        <v>153.79000000000002</v>
      </c>
      <c r="P31" s="21">
        <v>156.35000000000002</v>
      </c>
      <c r="Q31" s="21">
        <v>157.42000000000002</v>
      </c>
      <c r="R31" s="21">
        <v>160.05000000000001</v>
      </c>
    </row>
    <row r="32" spans="2:19" x14ac:dyDescent="0.2">
      <c r="B32" s="15" t="s">
        <v>13</v>
      </c>
      <c r="C32" s="11"/>
      <c r="D32" s="11"/>
      <c r="F32" s="16">
        <v>659.21</v>
      </c>
      <c r="G32" s="13">
        <v>605.04999999999995</v>
      </c>
      <c r="H32" s="13">
        <v>606.78</v>
      </c>
      <c r="I32" s="13">
        <v>607.37</v>
      </c>
      <c r="J32" s="13">
        <v>608.09</v>
      </c>
      <c r="K32" s="13">
        <v>601.74</v>
      </c>
      <c r="L32" s="13">
        <v>603.08000000000004</v>
      </c>
      <c r="M32" s="13">
        <v>621.39</v>
      </c>
      <c r="N32" s="21">
        <v>624.24</v>
      </c>
      <c r="O32" s="21">
        <v>618.86</v>
      </c>
      <c r="P32" s="21">
        <v>614.54</v>
      </c>
      <c r="Q32" s="21">
        <v>623.26</v>
      </c>
      <c r="R32" s="21">
        <v>619.88</v>
      </c>
    </row>
    <row r="33" spans="2:27" x14ac:dyDescent="0.2">
      <c r="B33" s="15" t="s">
        <v>14</v>
      </c>
      <c r="C33" s="11"/>
      <c r="D33" s="11"/>
      <c r="F33" s="16">
        <v>23.52</v>
      </c>
      <c r="G33" s="13">
        <v>19.05</v>
      </c>
      <c r="H33" s="13">
        <v>18.48</v>
      </c>
      <c r="I33" s="13">
        <v>18.28</v>
      </c>
      <c r="J33" s="13">
        <v>17.739999999999998</v>
      </c>
      <c r="K33" s="13">
        <v>17.54</v>
      </c>
      <c r="L33" s="13">
        <v>16.34</v>
      </c>
      <c r="M33" s="13">
        <v>16.34</v>
      </c>
      <c r="N33" s="21">
        <v>14.54</v>
      </c>
      <c r="O33" s="21">
        <v>13.54</v>
      </c>
      <c r="P33" s="21">
        <v>13.540000000000001</v>
      </c>
      <c r="Q33" s="21">
        <v>12.739999999999998</v>
      </c>
      <c r="R33" s="21">
        <v>13.54</v>
      </c>
    </row>
    <row r="34" spans="2:27" x14ac:dyDescent="0.2">
      <c r="B34" s="15" t="s">
        <v>15</v>
      </c>
      <c r="C34" s="11"/>
      <c r="D34" s="11"/>
      <c r="F34" s="16">
        <v>77.27</v>
      </c>
      <c r="G34" s="13">
        <v>65</v>
      </c>
      <c r="H34" s="13">
        <v>65.88</v>
      </c>
      <c r="I34" s="13">
        <v>65.040000000000006</v>
      </c>
      <c r="J34" s="13">
        <v>64.040000000000006</v>
      </c>
      <c r="K34" s="13">
        <v>63.12</v>
      </c>
      <c r="L34" s="13">
        <v>66.209999999999994</v>
      </c>
      <c r="M34" s="13">
        <v>68.010000000000005</v>
      </c>
      <c r="N34" s="21">
        <v>64.11999999999999</v>
      </c>
      <c r="O34" s="21">
        <v>60.52</v>
      </c>
      <c r="P34" s="21">
        <v>65.33</v>
      </c>
      <c r="Q34" s="21">
        <v>62.440000000000005</v>
      </c>
      <c r="R34" s="21">
        <v>59.63</v>
      </c>
    </row>
    <row r="35" spans="2:27" x14ac:dyDescent="0.2">
      <c r="B35" s="15" t="s">
        <v>16</v>
      </c>
      <c r="C35" s="11"/>
      <c r="D35" s="11"/>
      <c r="F35" s="16">
        <v>58.42</v>
      </c>
      <c r="G35" s="17">
        <v>60.02</v>
      </c>
      <c r="H35" s="17">
        <v>60.3</v>
      </c>
      <c r="I35" s="17">
        <v>58.78</v>
      </c>
      <c r="J35" s="17">
        <v>58.78</v>
      </c>
      <c r="K35" s="17">
        <v>60.78</v>
      </c>
      <c r="L35" s="17">
        <v>64.260000000000005</v>
      </c>
      <c r="M35" s="17">
        <v>63.37</v>
      </c>
      <c r="N35" s="21">
        <v>64.3</v>
      </c>
      <c r="O35" s="21">
        <v>67.3</v>
      </c>
      <c r="P35" s="21">
        <v>64.489999999999995</v>
      </c>
      <c r="Q35" s="21">
        <v>67.38</v>
      </c>
      <c r="R35" s="21">
        <v>73.189999999999984</v>
      </c>
    </row>
    <row r="36" spans="2:27" x14ac:dyDescent="0.2">
      <c r="B36" s="6" t="s">
        <v>17</v>
      </c>
      <c r="C36" s="6"/>
      <c r="D36" s="6"/>
      <c r="F36" s="18">
        <f t="shared" ref="F36:R36" si="1">SUM(F27:F35)</f>
        <v>1433.58</v>
      </c>
      <c r="G36" s="18">
        <f t="shared" si="1"/>
        <v>1336.83</v>
      </c>
      <c r="H36" s="18">
        <f t="shared" si="1"/>
        <v>1329.64</v>
      </c>
      <c r="I36" s="18">
        <f t="shared" si="1"/>
        <v>1314.6999999999998</v>
      </c>
      <c r="J36" s="18">
        <f t="shared" si="1"/>
        <v>1319.1100000000001</v>
      </c>
      <c r="K36" s="18">
        <f t="shared" si="1"/>
        <v>1325.82</v>
      </c>
      <c r="L36" s="18">
        <f t="shared" si="1"/>
        <v>1331.01</v>
      </c>
      <c r="M36" s="18">
        <f>SUM(M27:M35)</f>
        <v>1343.87</v>
      </c>
      <c r="N36" s="18">
        <f t="shared" si="1"/>
        <v>1339.57</v>
      </c>
      <c r="O36" s="18">
        <f t="shared" si="1"/>
        <v>1334.2899999999997</v>
      </c>
      <c r="P36" s="18">
        <f t="shared" si="1"/>
        <v>1341.1</v>
      </c>
      <c r="Q36" s="18">
        <f t="shared" si="1"/>
        <v>1348.4</v>
      </c>
      <c r="R36" s="18">
        <f t="shared" si="1"/>
        <v>1360.2000000000003</v>
      </c>
    </row>
    <row r="39" spans="2:27" x14ac:dyDescent="0.2">
      <c r="B39" s="5" t="s">
        <v>19</v>
      </c>
      <c r="C39" s="6"/>
      <c r="D39" s="6"/>
      <c r="F39" s="8" t="s">
        <v>4</v>
      </c>
      <c r="G39" s="55" t="s">
        <v>5</v>
      </c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</row>
    <row r="40" spans="2:27" x14ac:dyDescent="0.2">
      <c r="B40" s="6" t="s">
        <v>6</v>
      </c>
      <c r="C40" s="6"/>
      <c r="D40" s="6"/>
      <c r="F40" s="8" t="s">
        <v>7</v>
      </c>
      <c r="G40" s="10">
        <v>43556</v>
      </c>
      <c r="H40" s="10">
        <v>43586</v>
      </c>
      <c r="I40" s="10">
        <v>43617</v>
      </c>
      <c r="J40" s="10">
        <v>43647</v>
      </c>
      <c r="K40" s="10">
        <v>43678</v>
      </c>
      <c r="L40" s="10">
        <v>43709</v>
      </c>
      <c r="M40" s="10">
        <v>43739</v>
      </c>
      <c r="N40" s="10">
        <v>43770</v>
      </c>
      <c r="O40" s="10">
        <v>43800</v>
      </c>
      <c r="P40" s="10">
        <v>43831</v>
      </c>
      <c r="Q40" s="10">
        <v>43862</v>
      </c>
      <c r="R40" s="10">
        <v>43891</v>
      </c>
    </row>
    <row r="41" spans="2:27" x14ac:dyDescent="0.2">
      <c r="B41" s="11" t="s">
        <v>8</v>
      </c>
      <c r="C41" s="11"/>
      <c r="D41" s="11"/>
      <c r="F41" s="16">
        <v>234.48</v>
      </c>
      <c r="G41" s="13">
        <v>206.15</v>
      </c>
      <c r="H41" s="13">
        <v>206.66</v>
      </c>
      <c r="I41" s="14">
        <v>211.19</v>
      </c>
      <c r="J41" s="14">
        <v>213.67</v>
      </c>
      <c r="K41" s="14">
        <v>208.62</v>
      </c>
      <c r="L41" s="14">
        <v>213.19</v>
      </c>
      <c r="M41" s="14">
        <v>244.58</v>
      </c>
      <c r="N41" s="14">
        <v>225.2</v>
      </c>
      <c r="O41" s="14">
        <v>230.78</v>
      </c>
      <c r="P41" s="14">
        <v>234.46</v>
      </c>
      <c r="Q41" s="20">
        <v>239.66</v>
      </c>
      <c r="R41" s="20">
        <v>238.72999999999996</v>
      </c>
    </row>
    <row r="42" spans="2:27" x14ac:dyDescent="0.2">
      <c r="B42" s="15" t="s">
        <v>9</v>
      </c>
      <c r="C42" s="11"/>
      <c r="D42" s="11"/>
      <c r="F42" s="16">
        <v>8</v>
      </c>
      <c r="G42" s="13">
        <v>7</v>
      </c>
      <c r="H42" s="13">
        <v>8</v>
      </c>
      <c r="I42" s="14">
        <v>8</v>
      </c>
      <c r="J42" s="14">
        <v>8</v>
      </c>
      <c r="K42" s="14">
        <v>8</v>
      </c>
      <c r="L42" s="14">
        <v>8</v>
      </c>
      <c r="M42" s="14">
        <v>8</v>
      </c>
      <c r="N42" s="14">
        <v>8</v>
      </c>
      <c r="O42" s="14">
        <v>8</v>
      </c>
      <c r="P42" s="14">
        <v>8</v>
      </c>
      <c r="Q42" s="20">
        <v>8</v>
      </c>
      <c r="R42" s="20">
        <v>8</v>
      </c>
    </row>
    <row r="43" spans="2:27" x14ac:dyDescent="0.2">
      <c r="B43" s="15" t="s">
        <v>10</v>
      </c>
      <c r="C43" s="11"/>
      <c r="D43" s="11"/>
      <c r="F43" s="16">
        <v>53.8</v>
      </c>
      <c r="G43" s="13">
        <v>50.46</v>
      </c>
      <c r="H43" s="13">
        <v>43.66</v>
      </c>
      <c r="I43" s="14">
        <v>45.47</v>
      </c>
      <c r="J43" s="14">
        <v>47.07</v>
      </c>
      <c r="K43" s="14">
        <v>42.42</v>
      </c>
      <c r="L43" s="14">
        <v>49.73</v>
      </c>
      <c r="M43" s="14">
        <v>47.43</v>
      </c>
      <c r="N43" s="14">
        <v>50.53</v>
      </c>
      <c r="O43" s="14">
        <v>50.73</v>
      </c>
      <c r="P43" s="14">
        <v>53.21</v>
      </c>
      <c r="Q43" s="21">
        <v>52.36</v>
      </c>
      <c r="R43" s="21">
        <v>54.910000000000004</v>
      </c>
    </row>
    <row r="44" spans="2:27" x14ac:dyDescent="0.2">
      <c r="B44" s="15" t="s">
        <v>11</v>
      </c>
      <c r="C44" s="11"/>
      <c r="D44" s="11"/>
      <c r="F44" s="16">
        <v>201.85</v>
      </c>
      <c r="G44" s="13">
        <v>168.13</v>
      </c>
      <c r="H44" s="13">
        <v>168.57</v>
      </c>
      <c r="I44" s="14">
        <v>172.99</v>
      </c>
      <c r="J44" s="14">
        <v>167.76</v>
      </c>
      <c r="K44" s="14">
        <v>168.94</v>
      </c>
      <c r="L44" s="14">
        <v>170.83</v>
      </c>
      <c r="M44" s="14">
        <v>170.69</v>
      </c>
      <c r="N44" s="14">
        <v>171.22200000000001</v>
      </c>
      <c r="O44" s="14">
        <v>171.86</v>
      </c>
      <c r="P44" s="14">
        <v>172.56</v>
      </c>
      <c r="Q44" s="21">
        <v>176.35</v>
      </c>
      <c r="R44" s="21">
        <v>171.76999999999998</v>
      </c>
      <c r="AA44" s="22"/>
    </row>
    <row r="45" spans="2:27" x14ac:dyDescent="0.2">
      <c r="B45" s="15" t="s">
        <v>12</v>
      </c>
      <c r="C45" s="11"/>
      <c r="D45" s="11"/>
      <c r="F45" s="16">
        <v>164.83</v>
      </c>
      <c r="G45" s="13">
        <v>155.38999999999999</v>
      </c>
      <c r="H45" s="13">
        <v>156.53</v>
      </c>
      <c r="I45" s="14">
        <f>168.87-5</f>
        <v>163.87</v>
      </c>
      <c r="J45" s="14">
        <v>147.81</v>
      </c>
      <c r="K45" s="14">
        <v>165.43</v>
      </c>
      <c r="L45" s="14">
        <v>170.14</v>
      </c>
      <c r="M45" s="14">
        <v>173.86</v>
      </c>
      <c r="N45" s="14">
        <v>175.86</v>
      </c>
      <c r="O45" s="14">
        <v>176.86</v>
      </c>
      <c r="P45" s="14">
        <v>176.03</v>
      </c>
      <c r="Q45" s="21">
        <v>159.38999999999999</v>
      </c>
      <c r="R45" s="21">
        <v>167.69000000000003</v>
      </c>
    </row>
    <row r="46" spans="2:27" x14ac:dyDescent="0.2">
      <c r="B46" s="15" t="s">
        <v>13</v>
      </c>
      <c r="C46" s="11"/>
      <c r="D46" s="11"/>
      <c r="F46" s="16">
        <v>667.6</v>
      </c>
      <c r="G46" s="13">
        <v>625.65</v>
      </c>
      <c r="H46" s="13">
        <v>631.30999999999995</v>
      </c>
      <c r="I46" s="14">
        <v>630.76</v>
      </c>
      <c r="J46" s="14">
        <v>632.89</v>
      </c>
      <c r="K46" s="14">
        <v>634.67999999999995</v>
      </c>
      <c r="L46" s="14">
        <v>636.92999999999995</v>
      </c>
      <c r="M46" s="14">
        <v>658.66</v>
      </c>
      <c r="N46" s="14">
        <v>661.87</v>
      </c>
      <c r="O46" s="14">
        <v>662.49</v>
      </c>
      <c r="P46" s="14">
        <v>661.35</v>
      </c>
      <c r="Q46" s="21">
        <v>660.1</v>
      </c>
      <c r="R46" s="21">
        <v>664.84999999999991</v>
      </c>
    </row>
    <row r="47" spans="2:27" x14ac:dyDescent="0.2">
      <c r="B47" s="15" t="s">
        <v>14</v>
      </c>
      <c r="C47" s="11"/>
      <c r="D47" s="11"/>
      <c r="F47" s="16">
        <v>22.52</v>
      </c>
      <c r="G47" s="13">
        <v>16.14</v>
      </c>
      <c r="H47" s="13">
        <v>15.34</v>
      </c>
      <c r="I47" s="14">
        <v>13.94</v>
      </c>
      <c r="J47" s="14">
        <v>13.24</v>
      </c>
      <c r="K47" s="14">
        <v>12.74</v>
      </c>
      <c r="L47" s="14">
        <v>14.14</v>
      </c>
      <c r="M47" s="14">
        <v>14.9</v>
      </c>
      <c r="N47" s="14">
        <v>14.7</v>
      </c>
      <c r="O47" s="14">
        <v>14.07</v>
      </c>
      <c r="P47" s="14">
        <v>17.07</v>
      </c>
      <c r="Q47" s="21">
        <v>15.069999999999999</v>
      </c>
      <c r="R47" s="21">
        <v>15.07</v>
      </c>
    </row>
    <row r="48" spans="2:27" x14ac:dyDescent="0.2">
      <c r="B48" s="15" t="s">
        <v>15</v>
      </c>
      <c r="C48" s="11"/>
      <c r="D48" s="11"/>
      <c r="F48" s="16">
        <v>44.21</v>
      </c>
      <c r="G48" s="13">
        <v>53.95</v>
      </c>
      <c r="H48" s="13">
        <v>68.930000000000007</v>
      </c>
      <c r="I48" s="14">
        <v>68.33</v>
      </c>
      <c r="J48" s="14">
        <v>63.53</v>
      </c>
      <c r="K48" s="14">
        <v>31.07</v>
      </c>
      <c r="L48" s="14">
        <v>32.07</v>
      </c>
      <c r="M48" s="14">
        <v>33.25</v>
      </c>
      <c r="N48" s="14">
        <v>36.74</v>
      </c>
      <c r="O48" s="14">
        <v>35.4</v>
      </c>
      <c r="P48" s="14">
        <v>40.4</v>
      </c>
      <c r="Q48" s="21">
        <v>39.559999999999995</v>
      </c>
      <c r="R48" s="21">
        <v>41.47</v>
      </c>
    </row>
    <row r="49" spans="2:18" x14ac:dyDescent="0.2">
      <c r="B49" s="15" t="s">
        <v>16</v>
      </c>
      <c r="C49" s="11"/>
      <c r="D49" s="11"/>
      <c r="F49" s="16">
        <v>27.9</v>
      </c>
      <c r="G49" s="17">
        <v>77.27</v>
      </c>
      <c r="H49" s="17">
        <v>60.89</v>
      </c>
      <c r="I49" s="17">
        <v>63.7</v>
      </c>
      <c r="J49" s="17">
        <v>63.06</v>
      </c>
      <c r="K49" s="17">
        <v>33.799999999999997</v>
      </c>
      <c r="L49" s="17">
        <v>35.799999999999997</v>
      </c>
      <c r="M49" s="17">
        <v>33.11</v>
      </c>
      <c r="N49" s="17">
        <v>32.909999999999997</v>
      </c>
      <c r="O49" s="17">
        <v>28.45</v>
      </c>
      <c r="P49" s="17">
        <v>28.45</v>
      </c>
      <c r="Q49" s="21">
        <v>27.5</v>
      </c>
      <c r="R49" s="21">
        <v>27.5</v>
      </c>
    </row>
    <row r="50" spans="2:18" x14ac:dyDescent="0.2">
      <c r="B50" s="6" t="s">
        <v>17</v>
      </c>
      <c r="C50" s="6"/>
      <c r="D50" s="6"/>
      <c r="F50" s="18">
        <f>SUM(F41:F49)</f>
        <v>1425.19</v>
      </c>
      <c r="G50" s="18">
        <f t="shared" ref="G50:R50" si="2">SUM(G41:G49)</f>
        <v>1360.14</v>
      </c>
      <c r="H50" s="18">
        <f t="shared" si="2"/>
        <v>1359.89</v>
      </c>
      <c r="I50" s="18">
        <f t="shared" si="2"/>
        <v>1378.25</v>
      </c>
      <c r="J50" s="18">
        <f t="shared" si="2"/>
        <v>1357.0299999999997</v>
      </c>
      <c r="K50" s="18">
        <f t="shared" si="2"/>
        <v>1305.7</v>
      </c>
      <c r="L50" s="18">
        <f t="shared" si="2"/>
        <v>1330.83</v>
      </c>
      <c r="M50" s="18">
        <f t="shared" si="2"/>
        <v>1384.4799999999998</v>
      </c>
      <c r="N50" s="18">
        <f t="shared" si="2"/>
        <v>1377.0320000000002</v>
      </c>
      <c r="O50" s="18">
        <f t="shared" si="2"/>
        <v>1378.64</v>
      </c>
      <c r="P50" s="18">
        <f t="shared" si="2"/>
        <v>1391.5300000000002</v>
      </c>
      <c r="Q50" s="18">
        <f t="shared" si="2"/>
        <v>1377.99</v>
      </c>
      <c r="R50" s="18">
        <f t="shared" si="2"/>
        <v>1389.9899999999998</v>
      </c>
    </row>
    <row r="53" spans="2:18" x14ac:dyDescent="0.2">
      <c r="B53" s="5" t="s">
        <v>44</v>
      </c>
      <c r="C53" s="6"/>
      <c r="D53" s="6"/>
      <c r="F53" s="8" t="s">
        <v>4</v>
      </c>
      <c r="G53" s="55" t="s">
        <v>5</v>
      </c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2:18" x14ac:dyDescent="0.2">
      <c r="B54" s="6" t="s">
        <v>6</v>
      </c>
      <c r="C54" s="6"/>
      <c r="D54" s="6"/>
      <c r="F54" s="8" t="s">
        <v>7</v>
      </c>
      <c r="G54" s="10">
        <v>43922</v>
      </c>
      <c r="H54" s="10">
        <v>43952</v>
      </c>
      <c r="I54" s="10">
        <v>43983</v>
      </c>
      <c r="J54" s="10">
        <v>44013</v>
      </c>
      <c r="K54" s="10">
        <v>44044</v>
      </c>
      <c r="L54" s="10">
        <v>44075</v>
      </c>
      <c r="M54" s="10">
        <v>44105</v>
      </c>
      <c r="N54" s="10">
        <v>44136</v>
      </c>
      <c r="O54" s="10">
        <v>44166</v>
      </c>
      <c r="P54" s="10">
        <v>44197</v>
      </c>
      <c r="Q54" s="10">
        <v>44228</v>
      </c>
      <c r="R54" s="10">
        <v>44256</v>
      </c>
    </row>
    <row r="55" spans="2:18" x14ac:dyDescent="0.2">
      <c r="B55" s="11" t="s">
        <v>8</v>
      </c>
      <c r="C55" s="11"/>
      <c r="D55" s="11"/>
      <c r="F55" s="16">
        <v>242.78000000000003</v>
      </c>
      <c r="G55" s="20">
        <v>238.89999999999998</v>
      </c>
      <c r="H55" s="20">
        <v>231.07</v>
      </c>
      <c r="I55" s="20">
        <v>247.01999999999998</v>
      </c>
      <c r="J55" s="20">
        <v>243.14</v>
      </c>
      <c r="K55" s="14">
        <v>241.4</v>
      </c>
      <c r="L55" s="14">
        <v>242.72000000000003</v>
      </c>
      <c r="M55" s="14">
        <v>247.6</v>
      </c>
      <c r="N55" s="14">
        <v>245.50999999999996</v>
      </c>
      <c r="O55" s="14">
        <v>245.33</v>
      </c>
      <c r="P55" s="14">
        <v>249.58</v>
      </c>
      <c r="Q55" s="20">
        <v>251.03</v>
      </c>
      <c r="R55" s="20">
        <v>257.72999999999996</v>
      </c>
    </row>
    <row r="56" spans="2:18" x14ac:dyDescent="0.2">
      <c r="B56" s="15" t="s">
        <v>9</v>
      </c>
      <c r="C56" s="11"/>
      <c r="D56" s="11"/>
      <c r="F56" s="16">
        <v>8</v>
      </c>
      <c r="G56" s="20">
        <v>8</v>
      </c>
      <c r="H56" s="20">
        <v>8</v>
      </c>
      <c r="I56" s="20">
        <v>8</v>
      </c>
      <c r="J56" s="14">
        <v>8</v>
      </c>
      <c r="K56" s="14">
        <v>8</v>
      </c>
      <c r="L56" s="36">
        <v>8</v>
      </c>
      <c r="M56" s="14">
        <v>8</v>
      </c>
      <c r="N56" s="14">
        <v>8</v>
      </c>
      <c r="O56" s="14">
        <v>8</v>
      </c>
      <c r="P56" s="14">
        <v>8</v>
      </c>
      <c r="Q56" s="20">
        <v>8</v>
      </c>
      <c r="R56" s="20">
        <v>8</v>
      </c>
    </row>
    <row r="57" spans="2:18" x14ac:dyDescent="0.2">
      <c r="B57" s="15" t="s">
        <v>10</v>
      </c>
      <c r="C57" s="11"/>
      <c r="D57" s="11"/>
      <c r="F57" s="16">
        <v>46.11</v>
      </c>
      <c r="G57" s="21">
        <v>51.71</v>
      </c>
      <c r="H57" s="21">
        <v>40.61</v>
      </c>
      <c r="I57" s="21">
        <v>46.06</v>
      </c>
      <c r="J57" s="14">
        <v>45.01</v>
      </c>
      <c r="K57" s="14">
        <v>45.33</v>
      </c>
      <c r="L57" s="14">
        <v>44.33</v>
      </c>
      <c r="M57" s="14">
        <v>43.94</v>
      </c>
      <c r="N57" s="14">
        <v>43.699999999999996</v>
      </c>
      <c r="O57" s="14">
        <v>44.73</v>
      </c>
      <c r="P57" s="14">
        <v>42.33</v>
      </c>
      <c r="Q57" s="21">
        <v>43.23</v>
      </c>
      <c r="R57" s="21">
        <v>43.929999999999993</v>
      </c>
    </row>
    <row r="58" spans="2:18" x14ac:dyDescent="0.2">
      <c r="B58" s="15" t="s">
        <v>11</v>
      </c>
      <c r="C58" s="11"/>
      <c r="D58" s="11"/>
      <c r="F58" s="16">
        <v>197.94999999999996</v>
      </c>
      <c r="G58" s="21">
        <v>175.77999999999994</v>
      </c>
      <c r="H58" s="21">
        <v>171.25999999999996</v>
      </c>
      <c r="I58" s="21">
        <v>177.52</v>
      </c>
      <c r="J58" s="21">
        <v>170.99999999999997</v>
      </c>
      <c r="K58" s="14">
        <v>171.89999999999995</v>
      </c>
      <c r="L58" s="14">
        <v>178.14999999999998</v>
      </c>
      <c r="M58" s="14">
        <v>170.66</v>
      </c>
      <c r="N58" s="14">
        <v>170.29999999999998</v>
      </c>
      <c r="O58" s="14">
        <v>170.53</v>
      </c>
      <c r="P58" s="14">
        <v>174.19</v>
      </c>
      <c r="Q58" s="21">
        <v>176.68</v>
      </c>
      <c r="R58" s="21">
        <v>181.28</v>
      </c>
    </row>
    <row r="59" spans="2:18" x14ac:dyDescent="0.2">
      <c r="B59" s="15" t="s">
        <v>12</v>
      </c>
      <c r="C59" s="11"/>
      <c r="D59" s="11"/>
      <c r="F59" s="16">
        <v>182.65999999999997</v>
      </c>
      <c r="G59" s="21">
        <v>167.25</v>
      </c>
      <c r="H59" s="21">
        <v>157.66000000000003</v>
      </c>
      <c r="I59" s="20">
        <v>172</v>
      </c>
      <c r="J59" s="21">
        <v>169.95</v>
      </c>
      <c r="K59" s="14">
        <v>181.66</v>
      </c>
      <c r="L59" s="14">
        <v>179.58999999999997</v>
      </c>
      <c r="M59" s="14">
        <v>181.06</v>
      </c>
      <c r="N59" s="14">
        <v>185.59999999999997</v>
      </c>
      <c r="O59" s="14">
        <v>183.51</v>
      </c>
      <c r="P59" s="14">
        <v>178.72999999999996</v>
      </c>
      <c r="Q59" s="21">
        <v>183.76999999999998</v>
      </c>
      <c r="R59" s="21">
        <v>179.17999999999998</v>
      </c>
    </row>
    <row r="60" spans="2:18" x14ac:dyDescent="0.2">
      <c r="B60" s="15" t="s">
        <v>13</v>
      </c>
      <c r="C60" s="11"/>
      <c r="D60" s="11"/>
      <c r="F60" s="16">
        <v>687.28</v>
      </c>
      <c r="G60" s="21">
        <v>674.61</v>
      </c>
      <c r="H60" s="21">
        <v>674.5</v>
      </c>
      <c r="I60" s="20">
        <v>678.66</v>
      </c>
      <c r="J60" s="14">
        <v>682.25999999999988</v>
      </c>
      <c r="K60" s="14">
        <v>661.84999999999991</v>
      </c>
      <c r="L60" s="14">
        <v>656.31999999999994</v>
      </c>
      <c r="M60" s="14">
        <v>667.03000000000009</v>
      </c>
      <c r="N60" s="14">
        <v>668.78</v>
      </c>
      <c r="O60" s="14">
        <v>664.5</v>
      </c>
      <c r="P60" s="14">
        <v>665.54</v>
      </c>
      <c r="Q60" s="21">
        <v>667.66</v>
      </c>
      <c r="R60" s="21">
        <v>679.1099999999999</v>
      </c>
    </row>
    <row r="61" spans="2:18" x14ac:dyDescent="0.2">
      <c r="B61" s="15" t="s">
        <v>14</v>
      </c>
      <c r="C61" s="11"/>
      <c r="D61" s="11"/>
      <c r="F61" s="16">
        <v>26.939999999999998</v>
      </c>
      <c r="G61" s="21">
        <v>15.57</v>
      </c>
      <c r="H61" s="21">
        <v>16.669999999999998</v>
      </c>
      <c r="I61" s="20">
        <v>18.169999999999998</v>
      </c>
      <c r="J61" s="21">
        <v>18.669999999999998</v>
      </c>
      <c r="K61" s="14">
        <v>18.669999999999998</v>
      </c>
      <c r="L61" s="14">
        <v>18.669999999999998</v>
      </c>
      <c r="M61" s="14">
        <v>18.669999999999998</v>
      </c>
      <c r="N61" s="14">
        <v>18.669999999999998</v>
      </c>
      <c r="O61" s="14">
        <v>17.669999999999998</v>
      </c>
      <c r="P61" s="14">
        <v>18.61</v>
      </c>
      <c r="Q61" s="21">
        <v>19.899999999999999</v>
      </c>
      <c r="R61" s="21">
        <v>22.099999999999998</v>
      </c>
    </row>
    <row r="62" spans="2:18" x14ac:dyDescent="0.2">
      <c r="B62" s="15" t="s">
        <v>15</v>
      </c>
      <c r="C62" s="11"/>
      <c r="D62" s="11"/>
      <c r="F62" s="16">
        <v>38.840000000000003</v>
      </c>
      <c r="G62" s="21">
        <v>42.23</v>
      </c>
      <c r="H62" s="21">
        <v>39.230000000000004</v>
      </c>
      <c r="I62" s="21">
        <v>38.28</v>
      </c>
      <c r="J62" s="14">
        <v>36.54</v>
      </c>
      <c r="K62" s="14">
        <v>37.54</v>
      </c>
      <c r="L62" s="14">
        <v>37.130000000000003</v>
      </c>
      <c r="M62" s="14">
        <v>36.630000000000003</v>
      </c>
      <c r="N62" s="14">
        <v>38.080000000000005</v>
      </c>
      <c r="O62" s="14">
        <v>39.010000000000005</v>
      </c>
      <c r="P62" s="14">
        <v>33.65</v>
      </c>
      <c r="Q62" s="21">
        <v>35.15</v>
      </c>
      <c r="R62" s="21">
        <v>33.65</v>
      </c>
    </row>
    <row r="63" spans="2:18" x14ac:dyDescent="0.2">
      <c r="B63" s="15" t="s">
        <v>16</v>
      </c>
      <c r="C63" s="11"/>
      <c r="D63" s="11"/>
      <c r="F63" s="16">
        <v>29.5</v>
      </c>
      <c r="G63" s="21">
        <v>35</v>
      </c>
      <c r="H63" s="21">
        <v>26.57</v>
      </c>
      <c r="I63" s="21">
        <v>24.080000000000002</v>
      </c>
      <c r="J63" s="21">
        <v>26.95</v>
      </c>
      <c r="K63" s="21">
        <v>27.549999999999997</v>
      </c>
      <c r="L63" s="17">
        <v>28.35</v>
      </c>
      <c r="M63" s="17">
        <v>30.700000000000003</v>
      </c>
      <c r="N63" s="17">
        <v>27.25</v>
      </c>
      <c r="O63" s="17">
        <v>26.799999999999997</v>
      </c>
      <c r="P63" s="17">
        <v>29.25</v>
      </c>
      <c r="Q63" s="21">
        <v>30.599999999999998</v>
      </c>
      <c r="R63" s="21">
        <v>29.750000000000004</v>
      </c>
    </row>
    <row r="64" spans="2:18" x14ac:dyDescent="0.2">
      <c r="B64" s="6" t="s">
        <v>17</v>
      </c>
      <c r="C64" s="6"/>
      <c r="D64" s="6"/>
      <c r="F64" s="18">
        <f>SUM(F55:F63)</f>
        <v>1460.06</v>
      </c>
      <c r="G64" s="18">
        <f t="shared" ref="G64:R64" si="3">SUM(G55:G63)</f>
        <v>1409.05</v>
      </c>
      <c r="H64" s="18">
        <f t="shared" si="3"/>
        <v>1365.57</v>
      </c>
      <c r="I64" s="18">
        <f t="shared" si="3"/>
        <v>1409.79</v>
      </c>
      <c r="J64" s="18">
        <f t="shared" si="3"/>
        <v>1401.5199999999998</v>
      </c>
      <c r="K64" s="18">
        <f t="shared" si="3"/>
        <v>1393.8999999999999</v>
      </c>
      <c r="L64" s="18">
        <f t="shared" si="3"/>
        <v>1393.26</v>
      </c>
      <c r="M64" s="18">
        <f t="shared" si="3"/>
        <v>1404.2900000000002</v>
      </c>
      <c r="N64" s="18">
        <f t="shared" si="3"/>
        <v>1405.8899999999999</v>
      </c>
      <c r="O64" s="18">
        <f t="shared" si="3"/>
        <v>1400.08</v>
      </c>
      <c r="P64" s="18">
        <f t="shared" si="3"/>
        <v>1399.8799999999999</v>
      </c>
      <c r="Q64" s="18">
        <f t="shared" si="3"/>
        <v>1416.02</v>
      </c>
      <c r="R64" s="18">
        <f t="shared" si="3"/>
        <v>1434.7299999999998</v>
      </c>
    </row>
    <row r="67" spans="2:21" x14ac:dyDescent="0.2">
      <c r="B67" s="5" t="s">
        <v>49</v>
      </c>
      <c r="C67" s="6"/>
      <c r="D67" s="6"/>
      <c r="F67" s="8" t="s">
        <v>4</v>
      </c>
      <c r="G67" s="55" t="s">
        <v>5</v>
      </c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</row>
    <row r="68" spans="2:21" x14ac:dyDescent="0.2">
      <c r="B68" s="6" t="s">
        <v>6</v>
      </c>
      <c r="C68" s="6"/>
      <c r="D68" s="6"/>
      <c r="F68" s="8" t="s">
        <v>7</v>
      </c>
      <c r="G68" s="10">
        <v>44287</v>
      </c>
      <c r="H68" s="10">
        <v>44317</v>
      </c>
      <c r="I68" s="10">
        <v>44348</v>
      </c>
      <c r="J68" s="10">
        <v>44378</v>
      </c>
      <c r="K68" s="10">
        <v>44409</v>
      </c>
      <c r="L68" s="10">
        <v>44440</v>
      </c>
      <c r="M68" s="10">
        <v>44470</v>
      </c>
      <c r="N68" s="10">
        <v>44501</v>
      </c>
      <c r="O68" s="10">
        <v>44531</v>
      </c>
      <c r="P68" s="10">
        <v>44562</v>
      </c>
      <c r="Q68" s="10">
        <v>44593</v>
      </c>
      <c r="R68" s="10">
        <v>44621</v>
      </c>
    </row>
    <row r="69" spans="2:21" x14ac:dyDescent="0.2">
      <c r="B69" s="11" t="s">
        <v>8</v>
      </c>
      <c r="C69" s="11"/>
      <c r="D69" s="11"/>
      <c r="F69" s="16">
        <v>248.32</v>
      </c>
      <c r="G69" s="15">
        <v>252.62</v>
      </c>
      <c r="H69" s="20">
        <v>250.59999999999997</v>
      </c>
      <c r="I69" s="15">
        <v>252.6</v>
      </c>
      <c r="J69" s="20">
        <v>249.29</v>
      </c>
      <c r="K69" s="14">
        <v>250.41</v>
      </c>
      <c r="L69" s="14">
        <v>233.97</v>
      </c>
      <c r="M69" s="14">
        <v>247.42</v>
      </c>
      <c r="N69" s="14"/>
      <c r="O69" s="14"/>
      <c r="P69" s="14"/>
      <c r="Q69" s="20"/>
      <c r="R69" s="20"/>
    </row>
    <row r="70" spans="2:21" x14ac:dyDescent="0.2">
      <c r="B70" s="15" t="s">
        <v>9</v>
      </c>
      <c r="C70" s="11"/>
      <c r="D70" s="11"/>
      <c r="F70" s="16">
        <v>8</v>
      </c>
      <c r="G70" s="15">
        <v>8</v>
      </c>
      <c r="H70" s="20">
        <v>8</v>
      </c>
      <c r="I70" s="15">
        <v>8</v>
      </c>
      <c r="J70" s="14">
        <v>8</v>
      </c>
      <c r="K70" s="14">
        <v>8</v>
      </c>
      <c r="L70" s="36">
        <v>8</v>
      </c>
      <c r="M70" s="14">
        <v>6</v>
      </c>
      <c r="N70" s="14"/>
      <c r="O70" s="14"/>
      <c r="P70" s="14"/>
      <c r="Q70" s="20"/>
      <c r="R70" s="20"/>
    </row>
    <row r="71" spans="2:21" x14ac:dyDescent="0.2">
      <c r="B71" s="15" t="s">
        <v>10</v>
      </c>
      <c r="C71" s="11"/>
      <c r="D71" s="11"/>
      <c r="F71" s="16">
        <v>49.05</v>
      </c>
      <c r="G71" s="15">
        <v>46.93</v>
      </c>
      <c r="H71" s="21">
        <v>44.33</v>
      </c>
      <c r="I71" s="15">
        <v>47.680000000000007</v>
      </c>
      <c r="J71" s="14">
        <v>45.68</v>
      </c>
      <c r="K71" s="14">
        <v>45.68</v>
      </c>
      <c r="L71" s="14">
        <v>45.83</v>
      </c>
      <c r="M71" s="14">
        <v>47.83</v>
      </c>
      <c r="N71" s="14"/>
      <c r="O71" s="14"/>
      <c r="P71" s="14"/>
      <c r="Q71" s="21"/>
      <c r="R71" s="21"/>
    </row>
    <row r="72" spans="2:21" x14ac:dyDescent="0.2">
      <c r="B72" s="15" t="s">
        <v>11</v>
      </c>
      <c r="C72" s="11"/>
      <c r="D72" s="11"/>
      <c r="F72" s="16">
        <v>207.68</v>
      </c>
      <c r="G72" s="15">
        <v>180.13</v>
      </c>
      <c r="H72" s="21">
        <v>188.84</v>
      </c>
      <c r="I72" s="15">
        <v>190.06000000000003</v>
      </c>
      <c r="J72" s="21">
        <v>185.67</v>
      </c>
      <c r="K72" s="14">
        <v>183.98</v>
      </c>
      <c r="L72" s="14">
        <v>181.68</v>
      </c>
      <c r="M72" s="14">
        <v>185.04</v>
      </c>
      <c r="N72" s="14"/>
      <c r="O72" s="14"/>
      <c r="P72" s="14"/>
      <c r="Q72" s="21"/>
      <c r="R72" s="21"/>
    </row>
    <row r="73" spans="2:21" x14ac:dyDescent="0.2">
      <c r="B73" s="15" t="s">
        <v>12</v>
      </c>
      <c r="C73" s="11"/>
      <c r="D73" s="11"/>
      <c r="F73" s="16">
        <v>185.54</v>
      </c>
      <c r="G73" s="15">
        <v>174.93999999999997</v>
      </c>
      <c r="H73" s="21">
        <v>172.13</v>
      </c>
      <c r="I73" s="15">
        <v>173.27</v>
      </c>
      <c r="J73" s="21">
        <v>179.06</v>
      </c>
      <c r="K73" s="14">
        <v>187.48</v>
      </c>
      <c r="L73" s="14">
        <v>173.32</v>
      </c>
      <c r="M73" s="14">
        <v>176.18</v>
      </c>
      <c r="N73" s="14"/>
      <c r="O73" s="14"/>
      <c r="P73" s="14"/>
      <c r="Q73" s="21"/>
      <c r="R73" s="21"/>
      <c r="U73" s="21"/>
    </row>
    <row r="74" spans="2:21" x14ac:dyDescent="0.2">
      <c r="B74" s="15" t="s">
        <v>13</v>
      </c>
      <c r="C74" s="11"/>
      <c r="D74" s="11"/>
      <c r="F74" s="16">
        <v>692.67</v>
      </c>
      <c r="G74" s="15">
        <v>687.9</v>
      </c>
      <c r="H74" s="21">
        <v>670.38</v>
      </c>
      <c r="I74" s="15">
        <v>659.53</v>
      </c>
      <c r="J74" s="14">
        <v>655.88</v>
      </c>
      <c r="K74" s="14">
        <v>645.97</v>
      </c>
      <c r="L74" s="14">
        <v>640.65</v>
      </c>
      <c r="M74" s="14">
        <v>683.68</v>
      </c>
      <c r="N74" s="14"/>
      <c r="O74" s="14"/>
      <c r="P74" s="14"/>
      <c r="Q74" s="21"/>
      <c r="R74" s="21"/>
    </row>
    <row r="75" spans="2:21" x14ac:dyDescent="0.2">
      <c r="B75" s="15" t="s">
        <v>14</v>
      </c>
      <c r="C75" s="11"/>
      <c r="D75" s="11"/>
      <c r="F75" s="16">
        <v>26.64</v>
      </c>
      <c r="G75" s="15">
        <v>22.27</v>
      </c>
      <c r="H75" s="21">
        <v>22.31</v>
      </c>
      <c r="I75" s="15">
        <v>22.31</v>
      </c>
      <c r="J75" s="21">
        <v>22.31</v>
      </c>
      <c r="K75" s="14">
        <v>21.51</v>
      </c>
      <c r="L75" s="14">
        <v>19.309999999999999</v>
      </c>
      <c r="M75" s="14">
        <v>21.11</v>
      </c>
      <c r="N75" s="14"/>
      <c r="O75" s="14"/>
      <c r="P75" s="14"/>
      <c r="Q75" s="21"/>
      <c r="R75" s="21"/>
    </row>
    <row r="76" spans="2:21" x14ac:dyDescent="0.2">
      <c r="B76" s="15" t="s">
        <v>15</v>
      </c>
      <c r="C76" s="11"/>
      <c r="D76" s="11"/>
      <c r="F76" s="16">
        <v>39.46</v>
      </c>
      <c r="G76" s="15">
        <v>33.65</v>
      </c>
      <c r="H76" s="21">
        <v>34.33</v>
      </c>
      <c r="I76" s="15">
        <v>38.910000000000004</v>
      </c>
      <c r="J76" s="14">
        <v>38.56</v>
      </c>
      <c r="K76" s="14">
        <v>36.72</v>
      </c>
      <c r="L76" s="14">
        <v>38.76</v>
      </c>
      <c r="M76" s="14">
        <v>34.96</v>
      </c>
      <c r="N76" s="14"/>
      <c r="O76" s="14"/>
      <c r="P76" s="14"/>
      <c r="Q76" s="21"/>
      <c r="R76" s="21"/>
      <c r="U76" s="21"/>
    </row>
    <row r="77" spans="2:21" x14ac:dyDescent="0.2">
      <c r="B77" s="15" t="s">
        <v>16</v>
      </c>
      <c r="C77" s="11"/>
      <c r="D77" s="11"/>
      <c r="F77" s="16">
        <v>31.75</v>
      </c>
      <c r="G77" s="15">
        <v>30.85</v>
      </c>
      <c r="H77" s="21">
        <v>28.75</v>
      </c>
      <c r="I77" s="15">
        <v>26.450000000000003</v>
      </c>
      <c r="J77" s="21">
        <v>26.45</v>
      </c>
      <c r="K77" s="21">
        <v>24.45</v>
      </c>
      <c r="L77" s="17">
        <v>36.450000000000003</v>
      </c>
      <c r="M77" s="17">
        <v>30.65</v>
      </c>
      <c r="N77" s="17"/>
      <c r="O77" s="17"/>
      <c r="P77" s="17"/>
      <c r="Q77" s="21"/>
      <c r="R77" s="21"/>
    </row>
    <row r="78" spans="2:21" x14ac:dyDescent="0.2">
      <c r="B78" s="6" t="s">
        <v>17</v>
      </c>
      <c r="C78" s="6"/>
      <c r="D78" s="6"/>
      <c r="F78" s="18">
        <f>SUM(F69:F77)</f>
        <v>1489.11</v>
      </c>
      <c r="G78" s="18">
        <f>SUM(G69:G77)</f>
        <v>1437.29</v>
      </c>
      <c r="H78" s="18">
        <f>SUM(H69:H77)</f>
        <v>1419.6699999999998</v>
      </c>
      <c r="I78" s="18">
        <f>SUM(I69:I77)</f>
        <v>1418.81</v>
      </c>
      <c r="J78" s="18">
        <f t="shared" ref="J78:R78" si="4">SUM(J69:J77)</f>
        <v>1410.8999999999999</v>
      </c>
      <c r="K78" s="18">
        <f>SUM(K69:K77)</f>
        <v>1404.2</v>
      </c>
      <c r="L78" s="18">
        <f t="shared" si="4"/>
        <v>1377.9699999999998</v>
      </c>
      <c r="M78" s="18">
        <f t="shared" si="4"/>
        <v>1432.8700000000001</v>
      </c>
      <c r="N78" s="18">
        <f t="shared" si="4"/>
        <v>0</v>
      </c>
      <c r="O78" s="18">
        <f t="shared" si="4"/>
        <v>0</v>
      </c>
      <c r="P78" s="18">
        <f t="shared" si="4"/>
        <v>0</v>
      </c>
      <c r="Q78" s="18">
        <f t="shared" si="4"/>
        <v>0</v>
      </c>
      <c r="R78" s="18">
        <f t="shared" si="4"/>
        <v>0</v>
      </c>
    </row>
  </sheetData>
  <mergeCells count="5">
    <mergeCell ref="G11:R11"/>
    <mergeCell ref="G25:R25"/>
    <mergeCell ref="G39:R39"/>
    <mergeCell ref="G53:R53"/>
    <mergeCell ref="G67:R67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32"/>
  <sheetViews>
    <sheetView zoomScale="80" zoomScaleNormal="80" workbookViewId="0">
      <pane xSplit="4" topLeftCell="E1" activePane="topRight" state="frozen"/>
      <selection pane="topRight" activeCell="I19" sqref="I19"/>
    </sheetView>
  </sheetViews>
  <sheetFormatPr defaultColWidth="9.140625" defaultRowHeight="12.75" x14ac:dyDescent="0.2"/>
  <cols>
    <col min="1" max="1" width="3.28515625" style="15" customWidth="1"/>
    <col min="2" max="2" width="9.85546875" style="15" customWidth="1"/>
    <col min="3" max="3" width="9.140625" style="15"/>
    <col min="4" max="4" width="33.140625" style="15" customWidth="1"/>
    <col min="5" max="5" width="1.140625" style="15" customWidth="1"/>
    <col min="6" max="10" width="9.140625" style="15"/>
    <col min="11" max="11" width="9.140625" style="15" customWidth="1"/>
    <col min="12" max="12" width="9.7109375" style="15" customWidth="1"/>
    <col min="13" max="16384" width="9.140625" style="15"/>
  </cols>
  <sheetData>
    <row r="1" spans="2:13" s="1" customFormat="1" x14ac:dyDescent="0.2"/>
    <row r="2" spans="2:13" s="1" customFormat="1" x14ac:dyDescent="0.2"/>
    <row r="3" spans="2:13" s="1" customFormat="1" x14ac:dyDescent="0.2"/>
    <row r="4" spans="2:13" s="1" customFormat="1" ht="18.75" x14ac:dyDescent="0.3">
      <c r="B4" s="2" t="s">
        <v>37</v>
      </c>
      <c r="C4" s="4"/>
      <c r="D4" s="4"/>
      <c r="E4" s="4"/>
      <c r="F4" s="4"/>
      <c r="G4" s="4"/>
      <c r="H4" s="4"/>
      <c r="I4" s="4"/>
      <c r="J4" s="4"/>
      <c r="K4" s="4"/>
    </row>
    <row r="5" spans="2:13" s="1" customFormat="1" ht="18.75" x14ac:dyDescent="0.3">
      <c r="B5" s="4"/>
      <c r="C5" s="4"/>
      <c r="D5" s="4"/>
      <c r="E5" s="4"/>
      <c r="F5" s="4"/>
      <c r="G5" s="4"/>
      <c r="H5" s="4"/>
      <c r="I5" s="4"/>
      <c r="J5" s="4"/>
      <c r="K5" s="4"/>
    </row>
    <row r="6" spans="2:13" s="1" customFormat="1" ht="18.75" x14ac:dyDescent="0.3">
      <c r="B6" s="4" t="s">
        <v>52</v>
      </c>
      <c r="C6" s="4"/>
      <c r="D6" s="4"/>
      <c r="E6" s="4"/>
      <c r="F6" s="4"/>
      <c r="G6" s="4"/>
      <c r="H6" s="4"/>
      <c r="I6" s="4"/>
      <c r="J6" s="4"/>
      <c r="K6" s="4"/>
    </row>
    <row r="7" spans="2:13" s="1" customFormat="1" ht="18.75" x14ac:dyDescent="0.3">
      <c r="B7" s="4"/>
      <c r="C7" s="4"/>
      <c r="D7" s="4"/>
      <c r="E7" s="4"/>
      <c r="F7" s="4"/>
      <c r="G7" s="4"/>
      <c r="H7" s="4"/>
      <c r="I7" s="4"/>
      <c r="J7" s="4"/>
      <c r="K7" s="4"/>
    </row>
    <row r="8" spans="2:13" s="1" customFormat="1" x14ac:dyDescent="0.2"/>
    <row r="9" spans="2:13" s="1" customFormat="1" x14ac:dyDescent="0.2">
      <c r="B9" s="5"/>
      <c r="C9" s="6"/>
      <c r="D9" s="6"/>
      <c r="E9" s="7"/>
      <c r="F9" s="24" t="s">
        <v>38</v>
      </c>
      <c r="G9" s="24" t="s">
        <v>39</v>
      </c>
      <c r="H9" s="24" t="s">
        <v>40</v>
      </c>
      <c r="I9" s="10" t="s">
        <v>41</v>
      </c>
      <c r="J9" s="10" t="s">
        <v>42</v>
      </c>
      <c r="K9" s="10" t="s">
        <v>43</v>
      </c>
      <c r="L9" s="23" t="s">
        <v>46</v>
      </c>
      <c r="M9" s="23" t="s">
        <v>51</v>
      </c>
    </row>
    <row r="10" spans="2:13" s="1" customFormat="1" x14ac:dyDescent="0.2">
      <c r="B10" s="6" t="s">
        <v>23</v>
      </c>
      <c r="C10" s="6"/>
      <c r="D10" s="6"/>
      <c r="E10" s="7"/>
      <c r="F10" s="23" t="s">
        <v>21</v>
      </c>
      <c r="G10" s="23" t="s">
        <v>21</v>
      </c>
      <c r="H10" s="23" t="s">
        <v>21</v>
      </c>
      <c r="I10" s="23" t="s">
        <v>21</v>
      </c>
      <c r="J10" s="23" t="s">
        <v>21</v>
      </c>
      <c r="K10" s="23" t="s">
        <v>21</v>
      </c>
      <c r="L10" s="23" t="s">
        <v>21</v>
      </c>
      <c r="M10" s="23" t="s">
        <v>21</v>
      </c>
    </row>
    <row r="11" spans="2:13" s="1" customFormat="1" x14ac:dyDescent="0.2">
      <c r="B11" s="11" t="s">
        <v>25</v>
      </c>
      <c r="C11" s="11"/>
      <c r="D11" s="11"/>
      <c r="E11" s="11"/>
      <c r="F11" s="25">
        <v>0</v>
      </c>
      <c r="G11" s="25">
        <v>143</v>
      </c>
      <c r="H11" s="25">
        <v>353.34704999999997</v>
      </c>
      <c r="I11" s="25">
        <v>47.673580000000001</v>
      </c>
      <c r="J11" s="25">
        <v>324.61952999999994</v>
      </c>
      <c r="K11" s="25">
        <v>143</v>
      </c>
      <c r="L11" s="25">
        <v>86.4803</v>
      </c>
      <c r="M11" s="25">
        <v>0</v>
      </c>
    </row>
    <row r="12" spans="2:13" s="1" customFormat="1" x14ac:dyDescent="0.2">
      <c r="B12" s="15" t="s">
        <v>26</v>
      </c>
      <c r="C12" s="11"/>
      <c r="D12" s="11"/>
      <c r="E12" s="11"/>
      <c r="F12" s="25">
        <v>0</v>
      </c>
      <c r="G12" s="25">
        <v>174</v>
      </c>
      <c r="H12" s="25">
        <v>0</v>
      </c>
      <c r="I12" s="25">
        <v>348.33787999999998</v>
      </c>
      <c r="J12" s="25">
        <v>150.55302</v>
      </c>
      <c r="K12" s="25">
        <v>362</v>
      </c>
      <c r="L12" s="25">
        <v>484.88251000000002</v>
      </c>
      <c r="M12" s="25">
        <v>146.15132</v>
      </c>
    </row>
    <row r="13" spans="2:13" s="1" customFormat="1" x14ac:dyDescent="0.2">
      <c r="B13" s="15" t="s">
        <v>27</v>
      </c>
      <c r="C13" s="11"/>
      <c r="D13" s="11"/>
      <c r="E13" s="11"/>
      <c r="F13" s="25"/>
      <c r="G13" s="25"/>
      <c r="H13" s="25"/>
      <c r="I13" s="25"/>
      <c r="J13" s="25"/>
      <c r="K13" s="25">
        <v>108</v>
      </c>
      <c r="L13" s="25">
        <v>97.575620000000001</v>
      </c>
      <c r="M13" s="25">
        <v>103.63695</v>
      </c>
    </row>
    <row r="14" spans="2:13" s="1" customFormat="1" x14ac:dyDescent="0.2">
      <c r="B14" s="15" t="s">
        <v>29</v>
      </c>
      <c r="C14" s="11"/>
      <c r="D14" s="11"/>
      <c r="E14" s="11"/>
      <c r="F14" s="25">
        <v>134</v>
      </c>
      <c r="G14" s="25">
        <v>816</v>
      </c>
      <c r="H14" s="25">
        <v>395</v>
      </c>
      <c r="I14" s="25">
        <v>18.504430000000006</v>
      </c>
      <c r="J14" s="25">
        <v>63.834139999999998</v>
      </c>
      <c r="K14" s="25">
        <v>365</v>
      </c>
      <c r="L14" s="25">
        <v>26.467670000000002</v>
      </c>
      <c r="M14" s="25">
        <v>13.47946</v>
      </c>
    </row>
    <row r="15" spans="2:13" s="1" customFormat="1" x14ac:dyDescent="0.2">
      <c r="B15" s="15" t="s">
        <v>31</v>
      </c>
      <c r="C15" s="11"/>
      <c r="D15" s="11"/>
      <c r="E15" s="11"/>
      <c r="F15" s="25">
        <v>0</v>
      </c>
      <c r="G15" s="25">
        <v>135</v>
      </c>
      <c r="H15" s="25">
        <v>122</v>
      </c>
      <c r="I15" s="25">
        <v>668.42961000000003</v>
      </c>
      <c r="J15" s="25">
        <v>252.48442</v>
      </c>
      <c r="K15" s="25">
        <v>397</v>
      </c>
      <c r="L15" s="25">
        <v>248.61355999999995</v>
      </c>
      <c r="M15" s="25">
        <v>139.64494999999999</v>
      </c>
    </row>
    <row r="16" spans="2:13" s="1" customFormat="1" x14ac:dyDescent="0.2">
      <c r="B16" s="15" t="s">
        <v>30</v>
      </c>
      <c r="C16" s="11"/>
      <c r="D16" s="11"/>
      <c r="E16" s="11"/>
      <c r="F16" s="25"/>
      <c r="G16" s="25"/>
      <c r="H16" s="25"/>
      <c r="I16" s="25"/>
      <c r="J16" s="25"/>
      <c r="K16" s="25">
        <v>11</v>
      </c>
      <c r="L16" s="25">
        <v>0</v>
      </c>
      <c r="M16" s="25">
        <v>11.677999999999999</v>
      </c>
    </row>
    <row r="17" spans="2:14" s="1" customFormat="1" x14ac:dyDescent="0.2">
      <c r="B17" s="15" t="s">
        <v>28</v>
      </c>
      <c r="C17" s="11"/>
      <c r="D17" s="11"/>
      <c r="E17" s="11"/>
      <c r="F17" s="25">
        <v>0</v>
      </c>
      <c r="G17" s="25">
        <v>378</v>
      </c>
      <c r="H17" s="25">
        <v>0</v>
      </c>
      <c r="I17" s="25">
        <v>0</v>
      </c>
      <c r="J17" s="25">
        <v>0</v>
      </c>
      <c r="K17" s="25">
        <v>29</v>
      </c>
      <c r="L17" s="25">
        <v>295.32048000000003</v>
      </c>
      <c r="M17" s="25">
        <v>73.905299999999997</v>
      </c>
    </row>
    <row r="18" spans="2:14" x14ac:dyDescent="0.2">
      <c r="B18" s="15" t="s">
        <v>32</v>
      </c>
      <c r="C18" s="11"/>
      <c r="D18" s="11"/>
      <c r="E18" s="11"/>
      <c r="F18" s="29">
        <v>107</v>
      </c>
      <c r="G18" s="29">
        <v>403</v>
      </c>
      <c r="H18" s="29">
        <v>665</v>
      </c>
      <c r="I18" s="29">
        <v>168.80346</v>
      </c>
      <c r="J18" s="29">
        <v>37.57338</v>
      </c>
      <c r="K18" s="25">
        <v>218</v>
      </c>
      <c r="L18" s="25">
        <v>204.61652000000001</v>
      </c>
      <c r="M18" s="25">
        <v>197.81034000000002</v>
      </c>
      <c r="N18" s="1"/>
    </row>
    <row r="19" spans="2:14" x14ac:dyDescent="0.2">
      <c r="B19" s="6" t="s">
        <v>33</v>
      </c>
      <c r="C19" s="6"/>
      <c r="D19" s="6"/>
      <c r="E19" s="7"/>
      <c r="F19" s="30">
        <f t="shared" ref="F19:K19" si="0">SUM(F11:F18)</f>
        <v>241</v>
      </c>
      <c r="G19" s="30">
        <f t="shared" si="0"/>
        <v>2049</v>
      </c>
      <c r="H19" s="30">
        <f t="shared" si="0"/>
        <v>1535.3470499999999</v>
      </c>
      <c r="I19" s="30">
        <f t="shared" si="0"/>
        <v>1251.7489600000001</v>
      </c>
      <c r="J19" s="30">
        <f t="shared" si="0"/>
        <v>829.06448999999998</v>
      </c>
      <c r="K19" s="30">
        <f t="shared" si="0"/>
        <v>1633</v>
      </c>
      <c r="L19" s="30">
        <v>1443.9566600000001</v>
      </c>
      <c r="M19" s="30">
        <v>686.30632000000003</v>
      </c>
      <c r="N19" s="1"/>
    </row>
    <row r="20" spans="2:14" x14ac:dyDescent="0.2">
      <c r="N20" s="1"/>
    </row>
    <row r="21" spans="2:14" x14ac:dyDescent="0.2">
      <c r="N21" s="1"/>
    </row>
    <row r="22" spans="2:14" x14ac:dyDescent="0.2">
      <c r="B22" s="5"/>
      <c r="C22" s="6"/>
      <c r="D22" s="6"/>
      <c r="E22" s="7"/>
      <c r="F22" s="24" t="s">
        <v>38</v>
      </c>
      <c r="G22" s="24" t="s">
        <v>39</v>
      </c>
      <c r="H22" s="24" t="s">
        <v>40</v>
      </c>
      <c r="I22" s="10" t="s">
        <v>41</v>
      </c>
      <c r="J22" s="10" t="s">
        <v>42</v>
      </c>
      <c r="K22" s="10" t="s">
        <v>43</v>
      </c>
      <c r="L22" s="23" t="s">
        <v>46</v>
      </c>
      <c r="M22" s="23" t="s">
        <v>51</v>
      </c>
      <c r="N22" s="1"/>
    </row>
    <row r="23" spans="2:14" x14ac:dyDescent="0.2">
      <c r="B23" s="6" t="s">
        <v>35</v>
      </c>
      <c r="C23" s="6"/>
      <c r="D23" s="6"/>
      <c r="E23" s="7"/>
      <c r="F23" s="23" t="s">
        <v>21</v>
      </c>
      <c r="G23" s="23" t="s">
        <v>21</v>
      </c>
      <c r="H23" s="23" t="s">
        <v>21</v>
      </c>
      <c r="I23" s="23" t="s">
        <v>21</v>
      </c>
      <c r="J23" s="23" t="s">
        <v>21</v>
      </c>
      <c r="K23" s="23" t="s">
        <v>21</v>
      </c>
      <c r="L23" s="23" t="s">
        <v>21</v>
      </c>
      <c r="M23" s="23" t="s">
        <v>21</v>
      </c>
      <c r="N23" s="1"/>
    </row>
    <row r="24" spans="2:14" x14ac:dyDescent="0.2">
      <c r="B24" s="11" t="s">
        <v>8</v>
      </c>
      <c r="C24" s="11"/>
      <c r="D24" s="11"/>
      <c r="E24" s="11"/>
      <c r="F24" s="25">
        <v>58</v>
      </c>
      <c r="G24" s="25">
        <v>177</v>
      </c>
      <c r="H24" s="25">
        <v>166</v>
      </c>
      <c r="I24" s="25">
        <v>217</v>
      </c>
      <c r="J24" s="25">
        <v>178</v>
      </c>
      <c r="K24" s="15">
        <v>191</v>
      </c>
      <c r="L24" s="25">
        <v>256.46204000000006</v>
      </c>
      <c r="M24" s="25">
        <v>286.77598</v>
      </c>
      <c r="N24" s="1"/>
    </row>
    <row r="25" spans="2:14" x14ac:dyDescent="0.2">
      <c r="B25" s="15" t="s">
        <v>11</v>
      </c>
      <c r="C25" s="11"/>
      <c r="D25" s="11"/>
      <c r="E25" s="11"/>
      <c r="F25" s="25">
        <v>0</v>
      </c>
      <c r="G25" s="25">
        <v>301</v>
      </c>
      <c r="H25" s="25">
        <v>359</v>
      </c>
      <c r="I25" s="25">
        <v>403</v>
      </c>
      <c r="J25" s="25">
        <v>351</v>
      </c>
      <c r="K25" s="15">
        <v>315</v>
      </c>
      <c r="L25" s="25">
        <v>409.24080999999995</v>
      </c>
      <c r="M25" s="25">
        <v>515.4406899999999</v>
      </c>
      <c r="N25" s="1"/>
    </row>
    <row r="26" spans="2:14" x14ac:dyDescent="0.2">
      <c r="B26" s="15" t="s">
        <v>13</v>
      </c>
      <c r="C26" s="11"/>
      <c r="D26" s="11"/>
      <c r="E26" s="11"/>
      <c r="F26" s="25">
        <v>8</v>
      </c>
      <c r="G26" s="25">
        <v>851</v>
      </c>
      <c r="H26" s="25">
        <v>929</v>
      </c>
      <c r="I26" s="25">
        <v>1109</v>
      </c>
      <c r="J26" s="25">
        <v>1042</v>
      </c>
      <c r="K26" s="15">
        <v>1166</v>
      </c>
      <c r="L26" s="25">
        <v>1212.8110000000001</v>
      </c>
      <c r="M26" s="25">
        <v>1884.53441</v>
      </c>
      <c r="N26" s="1"/>
    </row>
    <row r="27" spans="2:14" x14ac:dyDescent="0.2">
      <c r="B27" s="15" t="s">
        <v>14</v>
      </c>
      <c r="C27" s="11"/>
      <c r="D27" s="11"/>
      <c r="E27" s="11"/>
      <c r="F27" s="25">
        <v>0</v>
      </c>
      <c r="G27" s="25">
        <v>67</v>
      </c>
      <c r="H27" s="25">
        <v>47</v>
      </c>
      <c r="I27" s="25">
        <v>70</v>
      </c>
      <c r="J27" s="25">
        <v>146</v>
      </c>
      <c r="K27" s="15">
        <v>117</v>
      </c>
      <c r="L27" s="25">
        <v>161.91320000000002</v>
      </c>
      <c r="M27" s="25">
        <v>188.97495000000001</v>
      </c>
      <c r="N27" s="1"/>
    </row>
    <row r="28" spans="2:14" x14ac:dyDescent="0.2">
      <c r="B28" s="15" t="s">
        <v>15</v>
      </c>
      <c r="C28" s="11"/>
      <c r="D28" s="11"/>
      <c r="E28" s="11"/>
      <c r="F28" s="25">
        <v>0</v>
      </c>
      <c r="G28" s="25">
        <v>0</v>
      </c>
      <c r="H28" s="25">
        <v>8</v>
      </c>
      <c r="I28" s="25">
        <v>7</v>
      </c>
      <c r="J28" s="25">
        <v>0</v>
      </c>
      <c r="K28" s="15">
        <v>19</v>
      </c>
      <c r="L28" s="25">
        <v>31.41018</v>
      </c>
      <c r="M28" s="25">
        <v>20.354699999999998</v>
      </c>
      <c r="N28" s="1"/>
    </row>
    <row r="29" spans="2:14" x14ac:dyDescent="0.2">
      <c r="B29" s="6" t="s">
        <v>36</v>
      </c>
      <c r="C29" s="6"/>
      <c r="D29" s="6"/>
      <c r="E29" s="7"/>
      <c r="F29" s="30">
        <f>SUM(F24:F28)</f>
        <v>66</v>
      </c>
      <c r="G29" s="30">
        <f>SUM(G24:G28)</f>
        <v>1396</v>
      </c>
      <c r="H29" s="30">
        <f>SUM(H24:H28)</f>
        <v>1509</v>
      </c>
      <c r="I29" s="30">
        <f>SUM(I24:I28)</f>
        <v>1806</v>
      </c>
      <c r="J29" s="30">
        <f t="shared" ref="J29:K29" si="1">SUM(J24:J28)</f>
        <v>1717</v>
      </c>
      <c r="K29" s="30">
        <f t="shared" si="1"/>
        <v>1808</v>
      </c>
      <c r="L29" s="30">
        <v>2071.8372300000001</v>
      </c>
      <c r="M29" s="30">
        <v>2896.0807299999997</v>
      </c>
      <c r="N29" s="1"/>
    </row>
    <row r="30" spans="2:14" x14ac:dyDescent="0.2">
      <c r="N30" s="1"/>
    </row>
    <row r="31" spans="2:14" x14ac:dyDescent="0.2">
      <c r="N31" s="1"/>
    </row>
    <row r="32" spans="2:14" x14ac:dyDescent="0.2">
      <c r="N32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B1:R26"/>
  <sheetViews>
    <sheetView zoomScaleNormal="100" workbookViewId="0">
      <selection activeCell="D39" sqref="D39"/>
    </sheetView>
  </sheetViews>
  <sheetFormatPr defaultColWidth="9.140625" defaultRowHeight="12.75" x14ac:dyDescent="0.2"/>
  <cols>
    <col min="1" max="1" width="2.140625" style="15" customWidth="1"/>
    <col min="2" max="2" width="9.85546875" style="15" customWidth="1"/>
    <col min="3" max="4" width="9.140625" style="15"/>
    <col min="5" max="5" width="1.140625" style="15" customWidth="1"/>
    <col min="6" max="10" width="9.140625" style="15"/>
    <col min="11" max="11" width="9.140625" style="15" customWidth="1"/>
    <col min="12" max="12" width="8.28515625" style="15" customWidth="1"/>
    <col min="13" max="19" width="9.140625" style="15"/>
    <col min="20" max="20" width="22.7109375" style="15" customWidth="1"/>
    <col min="21" max="16384" width="9.140625" style="15"/>
  </cols>
  <sheetData>
    <row r="1" spans="2:18" s="1" customFormat="1" x14ac:dyDescent="0.2"/>
    <row r="2" spans="2:18" s="1" customFormat="1" ht="18.75" x14ac:dyDescent="0.3">
      <c r="B2" s="2" t="s">
        <v>20</v>
      </c>
    </row>
    <row r="3" spans="2:18" s="1" customFormat="1" ht="18.75" x14ac:dyDescent="0.3">
      <c r="B3" s="4"/>
    </row>
    <row r="4" spans="2:18" s="1" customFormat="1" ht="18.75" x14ac:dyDescent="0.3">
      <c r="B4" s="4" t="s">
        <v>50</v>
      </c>
    </row>
    <row r="5" spans="2:18" s="1" customFormat="1" x14ac:dyDescent="0.2"/>
    <row r="6" spans="2:18" s="1" customFormat="1" x14ac:dyDescent="0.2">
      <c r="B6" s="5"/>
      <c r="C6" s="6"/>
      <c r="D6" s="6"/>
      <c r="E6" s="7"/>
      <c r="F6" s="23" t="s">
        <v>21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3" t="s">
        <v>22</v>
      </c>
    </row>
    <row r="7" spans="2:18" s="1" customFormat="1" x14ac:dyDescent="0.2">
      <c r="B7" s="6" t="s">
        <v>23</v>
      </c>
      <c r="C7" s="6"/>
      <c r="D7" s="6"/>
      <c r="E7" s="7"/>
      <c r="F7" s="23">
        <v>44287</v>
      </c>
      <c r="G7" s="23">
        <v>44317</v>
      </c>
      <c r="H7" s="23">
        <v>44348</v>
      </c>
      <c r="I7" s="23">
        <v>44378</v>
      </c>
      <c r="J7" s="23">
        <v>44409</v>
      </c>
      <c r="K7" s="23">
        <v>44440</v>
      </c>
      <c r="L7" s="23">
        <v>44470</v>
      </c>
      <c r="M7" s="23">
        <v>44501</v>
      </c>
      <c r="N7" s="23">
        <v>44531</v>
      </c>
      <c r="O7" s="23">
        <v>44562</v>
      </c>
      <c r="P7" s="23">
        <v>44593</v>
      </c>
      <c r="Q7" s="23">
        <v>44621</v>
      </c>
      <c r="R7" s="23" t="s">
        <v>24</v>
      </c>
    </row>
    <row r="8" spans="2:18" s="1" customFormat="1" x14ac:dyDescent="0.2">
      <c r="B8" s="11" t="s">
        <v>25</v>
      </c>
      <c r="C8" s="11"/>
      <c r="D8" s="11"/>
      <c r="E8" s="11"/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6"/>
      <c r="N8" s="27"/>
      <c r="O8" s="27"/>
      <c r="P8" s="26"/>
      <c r="Q8" s="28"/>
      <c r="R8" s="25">
        <f>SUM(F8:Q8)</f>
        <v>0</v>
      </c>
    </row>
    <row r="9" spans="2:18" s="1" customFormat="1" x14ac:dyDescent="0.2">
      <c r="B9" s="15" t="s">
        <v>26</v>
      </c>
      <c r="C9" s="11"/>
      <c r="D9" s="11"/>
      <c r="E9" s="11"/>
      <c r="F9" s="25">
        <v>10.05476</v>
      </c>
      <c r="G9" s="25">
        <v>13.908209999999999</v>
      </c>
      <c r="H9" s="25">
        <v>13.340440000000001</v>
      </c>
      <c r="I9" s="25">
        <v>26.74173</v>
      </c>
      <c r="J9" s="26">
        <v>5.5823299999999998</v>
      </c>
      <c r="K9" s="25">
        <v>0</v>
      </c>
      <c r="L9" s="25">
        <v>0</v>
      </c>
      <c r="M9" s="26"/>
      <c r="N9" s="27"/>
      <c r="O9" s="27"/>
      <c r="P9" s="26"/>
      <c r="Q9" s="28"/>
      <c r="R9" s="25">
        <f t="shared" ref="R9:R15" si="0">SUM(F9:Q9)</f>
        <v>69.627470000000002</v>
      </c>
    </row>
    <row r="10" spans="2:18" s="1" customFormat="1" x14ac:dyDescent="0.2">
      <c r="B10" s="15" t="s">
        <v>27</v>
      </c>
      <c r="C10" s="11"/>
      <c r="D10" s="11"/>
      <c r="E10" s="11"/>
      <c r="F10" s="25">
        <v>14.585280000000001</v>
      </c>
      <c r="G10" s="25">
        <v>20.918399999999998</v>
      </c>
      <c r="H10" s="25">
        <v>17.362049999999996</v>
      </c>
      <c r="I10" s="25">
        <v>186.98686999999998</v>
      </c>
      <c r="J10" s="26">
        <v>225.78814999999997</v>
      </c>
      <c r="K10" s="26">
        <v>243.57151000000002</v>
      </c>
      <c r="L10" s="26">
        <v>236.03064000000001</v>
      </c>
      <c r="M10" s="26"/>
      <c r="N10" s="27"/>
      <c r="O10" s="26"/>
      <c r="P10" s="26"/>
      <c r="Q10" s="26"/>
      <c r="R10" s="25">
        <f t="shared" si="0"/>
        <v>945.24289999999996</v>
      </c>
    </row>
    <row r="11" spans="2:18" s="1" customFormat="1" x14ac:dyDescent="0.2">
      <c r="B11" s="15" t="s">
        <v>28</v>
      </c>
      <c r="C11" s="11"/>
      <c r="D11" s="11"/>
      <c r="E11" s="11"/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6"/>
      <c r="N11" s="27"/>
      <c r="O11" s="27"/>
      <c r="P11" s="26"/>
      <c r="Q11" s="26"/>
      <c r="R11" s="25">
        <f t="shared" si="0"/>
        <v>0</v>
      </c>
    </row>
    <row r="12" spans="2:18" s="1" customFormat="1" x14ac:dyDescent="0.2">
      <c r="B12" s="15" t="s">
        <v>29</v>
      </c>
      <c r="C12" s="11"/>
      <c r="D12" s="11"/>
      <c r="E12" s="11"/>
      <c r="F12" s="25">
        <v>24.39762</v>
      </c>
      <c r="G12" s="25">
        <v>12.532920000000001</v>
      </c>
      <c r="H12" s="25">
        <v>11.61501</v>
      </c>
      <c r="I12" s="25">
        <v>16.54316</v>
      </c>
      <c r="J12" s="26">
        <v>8.0744499999999988</v>
      </c>
      <c r="K12" s="26">
        <v>17.64198</v>
      </c>
      <c r="L12" s="26">
        <v>32.121740000000003</v>
      </c>
      <c r="M12" s="26"/>
      <c r="N12" s="27"/>
      <c r="O12" s="26"/>
      <c r="P12" s="26"/>
      <c r="Q12" s="26"/>
      <c r="R12" s="25">
        <f t="shared" si="0"/>
        <v>122.92688</v>
      </c>
    </row>
    <row r="13" spans="2:18" s="1" customFormat="1" x14ac:dyDescent="0.2">
      <c r="B13" s="15" t="s">
        <v>30</v>
      </c>
      <c r="C13" s="11"/>
      <c r="D13" s="11"/>
      <c r="E13" s="11"/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6"/>
      <c r="N13" s="27"/>
      <c r="O13" s="27"/>
      <c r="P13" s="26"/>
      <c r="Q13" s="26"/>
      <c r="R13" s="25">
        <f t="shared" si="0"/>
        <v>0</v>
      </c>
    </row>
    <row r="14" spans="2:18" s="1" customFormat="1" x14ac:dyDescent="0.2">
      <c r="B14" s="15" t="s">
        <v>31</v>
      </c>
      <c r="C14" s="11"/>
      <c r="D14" s="11"/>
      <c r="E14" s="11"/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6"/>
      <c r="N14" s="27"/>
      <c r="O14" s="27"/>
      <c r="P14" s="26"/>
      <c r="Q14" s="26"/>
      <c r="R14" s="25">
        <f t="shared" si="0"/>
        <v>0</v>
      </c>
    </row>
    <row r="15" spans="2:18" x14ac:dyDescent="0.2">
      <c r="B15" s="15" t="s">
        <v>32</v>
      </c>
      <c r="C15" s="11"/>
      <c r="D15" s="11"/>
      <c r="E15" s="11"/>
      <c r="F15" s="29">
        <v>31.99616</v>
      </c>
      <c r="G15" s="29">
        <v>26.772200000000002</v>
      </c>
      <c r="H15" s="29">
        <v>32.012290000000007</v>
      </c>
      <c r="I15" s="29">
        <f>47.23196+0.91024</f>
        <v>48.142200000000003</v>
      </c>
      <c r="J15" s="26">
        <v>41.609839999999998</v>
      </c>
      <c r="K15" s="26">
        <v>38.251739999999998</v>
      </c>
      <c r="L15" s="26">
        <v>48.221990000000005</v>
      </c>
      <c r="M15" s="26"/>
      <c r="N15" s="27"/>
      <c r="O15" s="26"/>
      <c r="P15" s="26"/>
      <c r="Q15" s="26"/>
      <c r="R15" s="25">
        <f t="shared" si="0"/>
        <v>267.00641999999999</v>
      </c>
    </row>
    <row r="16" spans="2:18" x14ac:dyDescent="0.2">
      <c r="B16" s="6" t="s">
        <v>33</v>
      </c>
      <c r="C16" s="6"/>
      <c r="D16" s="6"/>
      <c r="E16" s="7"/>
      <c r="F16" s="30">
        <f t="shared" ref="F16:R16" si="1">SUM(F8:F15)</f>
        <v>81.033820000000006</v>
      </c>
      <c r="G16" s="30">
        <f t="shared" si="1"/>
        <v>74.13172999999999</v>
      </c>
      <c r="H16" s="30">
        <f t="shared" si="1"/>
        <v>74.329790000000003</v>
      </c>
      <c r="I16" s="30">
        <f t="shared" si="1"/>
        <v>278.41395999999997</v>
      </c>
      <c r="J16" s="30">
        <f>SUM(J9:J15)</f>
        <v>281.05477000000002</v>
      </c>
      <c r="K16" s="30">
        <f t="shared" si="1"/>
        <v>299.46523000000002</v>
      </c>
      <c r="L16" s="30">
        <f>SUM(L8:L15)</f>
        <v>316.37437</v>
      </c>
      <c r="M16" s="30">
        <f t="shared" si="1"/>
        <v>0</v>
      </c>
      <c r="N16" s="30">
        <f t="shared" si="1"/>
        <v>0</v>
      </c>
      <c r="O16" s="30">
        <f>SUM(O8:O15)</f>
        <v>0</v>
      </c>
      <c r="P16" s="30">
        <f t="shared" si="1"/>
        <v>0</v>
      </c>
      <c r="Q16" s="30">
        <f t="shared" si="1"/>
        <v>0</v>
      </c>
      <c r="R16" s="30">
        <f t="shared" si="1"/>
        <v>1404.80367</v>
      </c>
    </row>
    <row r="19" spans="2:18" x14ac:dyDescent="0.2">
      <c r="B19" s="5"/>
      <c r="C19" s="6"/>
      <c r="D19" s="6"/>
      <c r="E19" s="7"/>
      <c r="F19" s="23" t="s">
        <v>21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3" t="s">
        <v>22</v>
      </c>
    </row>
    <row r="20" spans="2:18" x14ac:dyDescent="0.2">
      <c r="B20" s="6" t="s">
        <v>35</v>
      </c>
      <c r="C20" s="6"/>
      <c r="D20" s="6"/>
      <c r="E20" s="7"/>
      <c r="F20" s="23">
        <v>44287</v>
      </c>
      <c r="G20" s="23">
        <v>44317</v>
      </c>
      <c r="H20" s="23">
        <v>44348</v>
      </c>
      <c r="I20" s="23">
        <v>44378</v>
      </c>
      <c r="J20" s="23">
        <v>44409</v>
      </c>
      <c r="K20" s="23">
        <v>44440</v>
      </c>
      <c r="L20" s="23">
        <v>44470</v>
      </c>
      <c r="M20" s="23">
        <v>44501</v>
      </c>
      <c r="N20" s="23">
        <v>44531</v>
      </c>
      <c r="O20" s="23">
        <v>44562</v>
      </c>
      <c r="P20" s="23">
        <v>44593</v>
      </c>
      <c r="Q20" s="23">
        <v>44621</v>
      </c>
      <c r="R20" s="23" t="s">
        <v>24</v>
      </c>
    </row>
    <row r="21" spans="2:18" x14ac:dyDescent="0.2">
      <c r="B21" s="11" t="s">
        <v>8</v>
      </c>
      <c r="C21" s="11"/>
      <c r="D21" s="11"/>
      <c r="E21" s="11"/>
      <c r="F21" s="25">
        <v>26.13692</v>
      </c>
      <c r="G21" s="25">
        <v>38.426790000000004</v>
      </c>
      <c r="H21" s="26">
        <v>26.078440000000001</v>
      </c>
      <c r="I21" s="26">
        <v>34.619980000000005</v>
      </c>
      <c r="J21" s="26">
        <v>28.746669999999998</v>
      </c>
      <c r="K21" s="26">
        <v>30.809219999999996</v>
      </c>
      <c r="L21" s="26">
        <v>36.195300000000003</v>
      </c>
      <c r="M21" s="26"/>
      <c r="N21" s="27"/>
      <c r="O21" s="26"/>
      <c r="P21" s="26"/>
      <c r="Q21" s="28"/>
      <c r="R21" s="25">
        <f>SUM(F21:Q21)</f>
        <v>221.01331999999999</v>
      </c>
    </row>
    <row r="22" spans="2:18" x14ac:dyDescent="0.2">
      <c r="B22" s="15" t="s">
        <v>11</v>
      </c>
      <c r="C22" s="11"/>
      <c r="D22" s="11"/>
      <c r="E22" s="11"/>
      <c r="F22" s="25">
        <v>50</v>
      </c>
      <c r="G22" s="25">
        <v>39</v>
      </c>
      <c r="H22" s="26">
        <v>32</v>
      </c>
      <c r="I22" s="26">
        <v>43</v>
      </c>
      <c r="J22" s="37">
        <v>42.603899999999996</v>
      </c>
      <c r="K22" s="26">
        <v>65.67277</v>
      </c>
      <c r="L22" s="26">
        <v>44.704349999999998</v>
      </c>
      <c r="M22" s="26"/>
      <c r="N22" s="27"/>
      <c r="O22" s="26"/>
      <c r="P22" s="26"/>
      <c r="Q22" s="28"/>
      <c r="R22" s="25">
        <f t="shared" ref="R22:R25" si="2">SUM(F22:Q22)</f>
        <v>316.98102</v>
      </c>
    </row>
    <row r="23" spans="2:18" x14ac:dyDescent="0.2">
      <c r="B23" s="15" t="s">
        <v>13</v>
      </c>
      <c r="C23" s="11"/>
      <c r="D23" s="11"/>
      <c r="E23" s="11"/>
      <c r="F23" s="25">
        <v>238</v>
      </c>
      <c r="G23" s="25">
        <v>143</v>
      </c>
      <c r="H23" s="26">
        <v>155</v>
      </c>
      <c r="I23" s="26">
        <v>187</v>
      </c>
      <c r="J23" s="26">
        <v>195.21399000000005</v>
      </c>
      <c r="K23" s="26">
        <v>203.52465000000001</v>
      </c>
      <c r="L23" s="26">
        <v>175.92833000000002</v>
      </c>
      <c r="M23" s="26"/>
      <c r="N23" s="27"/>
      <c r="O23" s="26"/>
      <c r="P23" s="28"/>
      <c r="Q23" s="28"/>
      <c r="R23" s="25">
        <f t="shared" si="2"/>
        <v>1297.66697</v>
      </c>
    </row>
    <row r="24" spans="2:18" x14ac:dyDescent="0.2">
      <c r="B24" s="15" t="s">
        <v>14</v>
      </c>
      <c r="C24" s="11"/>
      <c r="D24" s="11"/>
      <c r="E24" s="11"/>
      <c r="F24" s="25">
        <v>17.941130000000001</v>
      </c>
      <c r="G24" s="25">
        <v>13.747580000000001</v>
      </c>
      <c r="H24" s="26">
        <v>9.6979699999999998</v>
      </c>
      <c r="I24" s="26">
        <v>13.96228</v>
      </c>
      <c r="J24" s="26">
        <v>9.7889499999999998</v>
      </c>
      <c r="K24" s="26">
        <v>5.8992299999999993</v>
      </c>
      <c r="L24" s="26">
        <v>6.7942799999999997</v>
      </c>
      <c r="M24" s="26"/>
      <c r="N24" s="27"/>
      <c r="O24" s="26"/>
      <c r="P24" s="28"/>
      <c r="Q24" s="28"/>
      <c r="R24" s="25">
        <f t="shared" si="2"/>
        <v>77.831420000000008</v>
      </c>
    </row>
    <row r="25" spans="2:18" x14ac:dyDescent="0.2">
      <c r="B25" s="15" t="s">
        <v>15</v>
      </c>
      <c r="C25" s="11"/>
      <c r="D25" s="11"/>
      <c r="E25" s="11"/>
      <c r="F25" s="25">
        <v>3.58805</v>
      </c>
      <c r="G25" s="25">
        <v>4.1757900000000001</v>
      </c>
      <c r="H25" s="25">
        <v>3.1398899999999998</v>
      </c>
      <c r="I25" s="33">
        <v>9.1708500000000015</v>
      </c>
      <c r="J25" s="26">
        <v>6.2987000000000002</v>
      </c>
      <c r="K25" s="26">
        <v>7.7142899999999992</v>
      </c>
      <c r="L25" s="26">
        <v>5.9519000000000002</v>
      </c>
      <c r="M25" s="26"/>
      <c r="N25" s="27"/>
      <c r="O25" s="26"/>
      <c r="P25" s="28"/>
      <c r="Q25" s="28"/>
      <c r="R25" s="25">
        <f t="shared" si="2"/>
        <v>40.039470000000001</v>
      </c>
    </row>
    <row r="26" spans="2:18" x14ac:dyDescent="0.2">
      <c r="B26" s="6" t="s">
        <v>36</v>
      </c>
      <c r="C26" s="6"/>
      <c r="D26" s="6"/>
      <c r="E26" s="7"/>
      <c r="F26" s="30">
        <f>SUM(F21:F25)</f>
        <v>335.66610000000003</v>
      </c>
      <c r="G26" s="30">
        <f t="shared" ref="G26:R26" si="3">SUM(G21:G25)</f>
        <v>238.35016000000002</v>
      </c>
      <c r="H26" s="30">
        <f t="shared" si="3"/>
        <v>225.91630000000001</v>
      </c>
      <c r="I26" s="30">
        <f t="shared" si="3"/>
        <v>287.75310999999999</v>
      </c>
      <c r="J26" s="30">
        <f t="shared" si="3"/>
        <v>282.65221000000003</v>
      </c>
      <c r="K26" s="30">
        <f t="shared" si="3"/>
        <v>313.62016</v>
      </c>
      <c r="L26" s="30">
        <f t="shared" si="3"/>
        <v>269.57416000000006</v>
      </c>
      <c r="M26" s="30">
        <f t="shared" si="3"/>
        <v>0</v>
      </c>
      <c r="N26" s="30">
        <f t="shared" si="3"/>
        <v>0</v>
      </c>
      <c r="O26" s="30">
        <f t="shared" si="3"/>
        <v>0</v>
      </c>
      <c r="P26" s="30">
        <f t="shared" si="3"/>
        <v>0</v>
      </c>
      <c r="Q26" s="30">
        <f t="shared" si="3"/>
        <v>0</v>
      </c>
      <c r="R26" s="30">
        <f t="shared" si="3"/>
        <v>1953.5321999999999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B1:R26"/>
  <sheetViews>
    <sheetView zoomScaleNormal="100" workbookViewId="0">
      <selection activeCell="G25" sqref="G25"/>
    </sheetView>
  </sheetViews>
  <sheetFormatPr defaultColWidth="9.140625" defaultRowHeight="12.75" x14ac:dyDescent="0.2"/>
  <cols>
    <col min="1" max="1" width="2.140625" style="15" customWidth="1"/>
    <col min="2" max="2" width="9.85546875" style="15" customWidth="1"/>
    <col min="3" max="4" width="9.140625" style="15"/>
    <col min="5" max="5" width="1.140625" style="15" customWidth="1"/>
    <col min="6" max="10" width="9.140625" style="15"/>
    <col min="11" max="11" width="9.140625" style="15" customWidth="1"/>
    <col min="12" max="12" width="8.28515625" style="15" customWidth="1"/>
    <col min="13" max="16384" width="9.140625" style="15"/>
  </cols>
  <sheetData>
    <row r="1" spans="2:18" s="1" customFormat="1" x14ac:dyDescent="0.2"/>
    <row r="2" spans="2:18" s="1" customFormat="1" ht="18.75" x14ac:dyDescent="0.3">
      <c r="B2" s="2" t="s">
        <v>20</v>
      </c>
    </row>
    <row r="3" spans="2:18" s="1" customFormat="1" ht="18.75" x14ac:dyDescent="0.3">
      <c r="B3" s="4"/>
    </row>
    <row r="4" spans="2:18" s="1" customFormat="1" ht="18.75" x14ac:dyDescent="0.3">
      <c r="B4" s="4" t="s">
        <v>45</v>
      </c>
    </row>
    <row r="5" spans="2:18" s="1" customFormat="1" x14ac:dyDescent="0.2"/>
    <row r="6" spans="2:18" s="1" customFormat="1" x14ac:dyDescent="0.2">
      <c r="B6" s="5"/>
      <c r="C6" s="6"/>
      <c r="D6" s="6"/>
      <c r="E6" s="7"/>
      <c r="F6" s="23" t="s">
        <v>21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3" t="s">
        <v>22</v>
      </c>
    </row>
    <row r="7" spans="2:18" s="1" customFormat="1" x14ac:dyDescent="0.2">
      <c r="B7" s="6" t="s">
        <v>23</v>
      </c>
      <c r="C7" s="6"/>
      <c r="D7" s="6"/>
      <c r="E7" s="7"/>
      <c r="F7" s="23">
        <v>43922</v>
      </c>
      <c r="G7" s="23">
        <v>43952</v>
      </c>
      <c r="H7" s="23">
        <v>43983</v>
      </c>
      <c r="I7" s="23">
        <v>44013</v>
      </c>
      <c r="J7" s="23">
        <v>44044</v>
      </c>
      <c r="K7" s="23">
        <v>44075</v>
      </c>
      <c r="L7" s="23">
        <v>44105</v>
      </c>
      <c r="M7" s="23">
        <v>44136</v>
      </c>
      <c r="N7" s="23">
        <v>44166</v>
      </c>
      <c r="O7" s="23">
        <v>44197</v>
      </c>
      <c r="P7" s="23">
        <v>44228</v>
      </c>
      <c r="Q7" s="23">
        <v>44256</v>
      </c>
      <c r="R7" s="23" t="s">
        <v>24</v>
      </c>
    </row>
    <row r="8" spans="2:18" s="1" customFormat="1" x14ac:dyDescent="0.2">
      <c r="B8" s="11" t="s">
        <v>25</v>
      </c>
      <c r="C8" s="11"/>
      <c r="D8" s="11"/>
      <c r="E8" s="11"/>
      <c r="F8" s="25">
        <v>0</v>
      </c>
      <c r="G8" s="31">
        <v>0</v>
      </c>
      <c r="H8" s="34">
        <v>0</v>
      </c>
      <c r="I8" s="34">
        <v>0</v>
      </c>
      <c r="J8" s="26">
        <v>0</v>
      </c>
      <c r="K8" s="26">
        <v>0</v>
      </c>
      <c r="L8" s="26">
        <v>0</v>
      </c>
      <c r="M8" s="26">
        <v>0</v>
      </c>
      <c r="N8" s="27">
        <v>0</v>
      </c>
      <c r="O8" s="27">
        <v>0</v>
      </c>
      <c r="P8" s="26">
        <v>0</v>
      </c>
      <c r="Q8" s="28">
        <v>0</v>
      </c>
      <c r="R8" s="25">
        <f>SUM(F8:Q8)</f>
        <v>0</v>
      </c>
    </row>
    <row r="9" spans="2:18" s="1" customFormat="1" x14ac:dyDescent="0.2">
      <c r="B9" s="15" t="s">
        <v>26</v>
      </c>
      <c r="C9" s="11"/>
      <c r="D9" s="11"/>
      <c r="E9" s="11"/>
      <c r="F9" s="25">
        <v>39</v>
      </c>
      <c r="G9" s="25">
        <v>4.3196499999999958</v>
      </c>
      <c r="H9" s="26">
        <v>56.616140000000001</v>
      </c>
      <c r="I9" s="26">
        <v>35.660319999999999</v>
      </c>
      <c r="J9" s="26">
        <v>10.555209999999999</v>
      </c>
      <c r="K9" s="26">
        <v>0</v>
      </c>
      <c r="L9" s="26">
        <v>0</v>
      </c>
      <c r="M9" s="26">
        <v>0</v>
      </c>
      <c r="N9" s="27">
        <v>0</v>
      </c>
      <c r="O9" s="27">
        <v>0</v>
      </c>
      <c r="P9" s="26">
        <v>0</v>
      </c>
      <c r="Q9" s="28">
        <v>0</v>
      </c>
      <c r="R9" s="25">
        <f t="shared" ref="R9:R15" si="0">SUM(F9:Q9)</f>
        <v>146.15132</v>
      </c>
    </row>
    <row r="10" spans="2:18" s="1" customFormat="1" x14ac:dyDescent="0.2">
      <c r="B10" s="15" t="s">
        <v>27</v>
      </c>
      <c r="C10" s="11"/>
      <c r="D10" s="11"/>
      <c r="E10" s="11"/>
      <c r="F10" s="25">
        <v>4</v>
      </c>
      <c r="G10" s="32">
        <v>-3</v>
      </c>
      <c r="H10" s="26">
        <v>3.55016</v>
      </c>
      <c r="I10" s="26">
        <v>12.595979999999999</v>
      </c>
      <c r="J10" s="26">
        <v>0</v>
      </c>
      <c r="K10" s="26">
        <v>9.5429100000000009</v>
      </c>
      <c r="L10" s="26">
        <v>8.5391000000000012</v>
      </c>
      <c r="M10" s="26">
        <v>15.50704</v>
      </c>
      <c r="N10" s="27">
        <v>22.71041</v>
      </c>
      <c r="O10" s="26">
        <v>7.8196499999999993</v>
      </c>
      <c r="P10" s="26">
        <v>1.3475599999999999</v>
      </c>
      <c r="Q10" s="26">
        <v>21.024139999999999</v>
      </c>
      <c r="R10" s="25">
        <f t="shared" si="0"/>
        <v>103.63695</v>
      </c>
    </row>
    <row r="11" spans="2:18" s="1" customFormat="1" x14ac:dyDescent="0.2">
      <c r="B11" s="15" t="s">
        <v>28</v>
      </c>
      <c r="C11" s="11"/>
      <c r="D11" s="11"/>
      <c r="E11" s="11"/>
      <c r="F11" s="25">
        <v>0</v>
      </c>
      <c r="G11" s="25">
        <v>0</v>
      </c>
      <c r="H11" s="25">
        <v>0</v>
      </c>
      <c r="I11" s="34">
        <v>0</v>
      </c>
      <c r="J11" s="26">
        <v>13.59754</v>
      </c>
      <c r="K11" s="26">
        <v>0</v>
      </c>
      <c r="L11" s="26">
        <v>0</v>
      </c>
      <c r="M11" s="26">
        <v>0</v>
      </c>
      <c r="N11" s="27">
        <v>0</v>
      </c>
      <c r="O11" s="27">
        <v>0</v>
      </c>
      <c r="P11" s="26">
        <v>0</v>
      </c>
      <c r="Q11" s="26">
        <v>-0.11808</v>
      </c>
      <c r="R11" s="25">
        <f t="shared" si="0"/>
        <v>13.47946</v>
      </c>
    </row>
    <row r="12" spans="2:18" s="1" customFormat="1" x14ac:dyDescent="0.2">
      <c r="B12" s="15" t="s">
        <v>29</v>
      </c>
      <c r="C12" s="11"/>
      <c r="D12" s="11"/>
      <c r="E12" s="11"/>
      <c r="F12" s="25">
        <v>12</v>
      </c>
      <c r="G12" s="25">
        <v>7.5825200000000006</v>
      </c>
      <c r="H12" s="26">
        <v>15.4701</v>
      </c>
      <c r="I12" s="26">
        <v>12.85247</v>
      </c>
      <c r="J12" s="26">
        <v>0</v>
      </c>
      <c r="K12" s="26">
        <v>13.698799999999999</v>
      </c>
      <c r="L12" s="26">
        <v>11.224360000000001</v>
      </c>
      <c r="M12" s="26">
        <v>11.50657</v>
      </c>
      <c r="N12" s="27">
        <v>12.79515</v>
      </c>
      <c r="O12" s="26">
        <v>14.245189999999999</v>
      </c>
      <c r="P12" s="26">
        <v>17.21463</v>
      </c>
      <c r="Q12" s="26">
        <v>11.055160000000001</v>
      </c>
      <c r="R12" s="25">
        <f t="shared" si="0"/>
        <v>139.64494999999999</v>
      </c>
    </row>
    <row r="13" spans="2:18" s="1" customFormat="1" x14ac:dyDescent="0.2">
      <c r="B13" s="15" t="s">
        <v>30</v>
      </c>
      <c r="C13" s="11"/>
      <c r="D13" s="11"/>
      <c r="E13" s="11"/>
      <c r="F13" s="25">
        <v>0</v>
      </c>
      <c r="G13" s="25">
        <v>0</v>
      </c>
      <c r="H13" s="25">
        <v>0</v>
      </c>
      <c r="I13" s="26">
        <v>1.35819</v>
      </c>
      <c r="J13" s="26">
        <v>10.319809999999999</v>
      </c>
      <c r="K13" s="26">
        <v>0</v>
      </c>
      <c r="L13" s="26">
        <v>0</v>
      </c>
      <c r="M13" s="26">
        <v>0</v>
      </c>
      <c r="N13" s="27">
        <v>0</v>
      </c>
      <c r="O13" s="27">
        <v>0</v>
      </c>
      <c r="P13" s="26">
        <v>0</v>
      </c>
      <c r="Q13" s="26">
        <v>0</v>
      </c>
      <c r="R13" s="25">
        <f t="shared" si="0"/>
        <v>11.677999999999999</v>
      </c>
    </row>
    <row r="14" spans="2:18" s="1" customFormat="1" x14ac:dyDescent="0.2">
      <c r="B14" s="15" t="s">
        <v>31</v>
      </c>
      <c r="C14" s="11"/>
      <c r="D14" s="11"/>
      <c r="E14" s="11"/>
      <c r="F14" s="25">
        <v>2</v>
      </c>
      <c r="G14" s="25">
        <v>2.0872899999999999</v>
      </c>
      <c r="H14" s="26">
        <v>66.100859999999997</v>
      </c>
      <c r="I14" s="34">
        <v>0</v>
      </c>
      <c r="J14" s="26">
        <v>5</v>
      </c>
      <c r="K14" s="26">
        <v>0</v>
      </c>
      <c r="L14" s="26">
        <v>-0.43285000000000001</v>
      </c>
      <c r="M14" s="26">
        <v>0</v>
      </c>
      <c r="N14" s="27">
        <v>0</v>
      </c>
      <c r="O14" s="27">
        <v>0</v>
      </c>
      <c r="P14" s="26">
        <v>0</v>
      </c>
      <c r="Q14" s="26">
        <v>-0.85</v>
      </c>
      <c r="R14" s="25">
        <f t="shared" si="0"/>
        <v>73.905299999999997</v>
      </c>
    </row>
    <row r="15" spans="2:18" x14ac:dyDescent="0.2">
      <c r="B15" s="15" t="s">
        <v>32</v>
      </c>
      <c r="C15" s="11"/>
      <c r="D15" s="11"/>
      <c r="E15" s="11"/>
      <c r="F15" s="29">
        <v>15</v>
      </c>
      <c r="G15" s="29">
        <v>2.7336300000000002</v>
      </c>
      <c r="H15" s="26">
        <v>2.8572600000000001</v>
      </c>
      <c r="I15" s="35">
        <v>-2.6249000000000007</v>
      </c>
      <c r="J15" s="26">
        <v>19</v>
      </c>
      <c r="K15" s="26">
        <v>16.273440000000001</v>
      </c>
      <c r="L15" s="26">
        <v>24.714630000000003</v>
      </c>
      <c r="M15" s="26">
        <v>23.530510000000007</v>
      </c>
      <c r="N15" s="27">
        <v>29.351689999999998</v>
      </c>
      <c r="O15" s="26">
        <v>23.77805</v>
      </c>
      <c r="P15" s="26">
        <v>24.615779999999997</v>
      </c>
      <c r="Q15" s="26">
        <v>18.580249999999999</v>
      </c>
      <c r="R15" s="25">
        <f t="shared" si="0"/>
        <v>197.81034000000002</v>
      </c>
    </row>
    <row r="16" spans="2:18" x14ac:dyDescent="0.2">
      <c r="B16" s="6" t="s">
        <v>33</v>
      </c>
      <c r="C16" s="6"/>
      <c r="D16" s="6"/>
      <c r="E16" s="7"/>
      <c r="F16" s="30">
        <f t="shared" ref="F16:R16" si="1">SUM(F8:F15)</f>
        <v>72</v>
      </c>
      <c r="G16" s="30">
        <f t="shared" si="1"/>
        <v>13.723089999999996</v>
      </c>
      <c r="H16" s="30">
        <f t="shared" si="1"/>
        <v>144.59451999999999</v>
      </c>
      <c r="I16" s="30">
        <f t="shared" si="1"/>
        <v>59.842059999999989</v>
      </c>
      <c r="J16" s="30">
        <f t="shared" si="1"/>
        <v>58.472559999999994</v>
      </c>
      <c r="K16" s="30">
        <f t="shared" si="1"/>
        <v>39.515149999999998</v>
      </c>
      <c r="L16" s="30">
        <f>SUM(L8:L15)</f>
        <v>44.045240000000007</v>
      </c>
      <c r="M16" s="30">
        <f t="shared" si="1"/>
        <v>50.544120000000007</v>
      </c>
      <c r="N16" s="30">
        <f t="shared" si="1"/>
        <v>64.857249999999993</v>
      </c>
      <c r="O16" s="30">
        <f>SUM(O8:O15)</f>
        <v>45.842889999999997</v>
      </c>
      <c r="P16" s="30">
        <f t="shared" si="1"/>
        <v>43.177970000000002</v>
      </c>
      <c r="Q16" s="30">
        <f t="shared" si="1"/>
        <v>49.691469999999995</v>
      </c>
      <c r="R16" s="30">
        <f t="shared" si="1"/>
        <v>686.30632000000003</v>
      </c>
    </row>
    <row r="17" spans="2:18" x14ac:dyDescent="0.2">
      <c r="B17" s="15" t="s">
        <v>34</v>
      </c>
    </row>
    <row r="19" spans="2:18" x14ac:dyDescent="0.2">
      <c r="B19" s="5"/>
      <c r="C19" s="6"/>
      <c r="D19" s="6"/>
      <c r="E19" s="7"/>
      <c r="F19" s="23" t="s">
        <v>21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3" t="s">
        <v>22</v>
      </c>
    </row>
    <row r="20" spans="2:18" x14ac:dyDescent="0.2">
      <c r="B20" s="6" t="s">
        <v>35</v>
      </c>
      <c r="C20" s="6"/>
      <c r="D20" s="6"/>
      <c r="E20" s="7"/>
      <c r="F20" s="23">
        <v>43922</v>
      </c>
      <c r="G20" s="23">
        <v>43952</v>
      </c>
      <c r="H20" s="23">
        <v>43983</v>
      </c>
      <c r="I20" s="23">
        <v>44013</v>
      </c>
      <c r="J20" s="23">
        <v>44044</v>
      </c>
      <c r="K20" s="23">
        <v>44075</v>
      </c>
      <c r="L20" s="23">
        <v>44105</v>
      </c>
      <c r="M20" s="23">
        <v>44136</v>
      </c>
      <c r="N20" s="23">
        <v>44166</v>
      </c>
      <c r="O20" s="23">
        <v>44197</v>
      </c>
      <c r="P20" s="23">
        <v>44228</v>
      </c>
      <c r="Q20" s="23">
        <v>44256</v>
      </c>
      <c r="R20" s="23" t="s">
        <v>24</v>
      </c>
    </row>
    <row r="21" spans="2:18" x14ac:dyDescent="0.2">
      <c r="B21" s="11" t="s">
        <v>8</v>
      </c>
      <c r="C21" s="11"/>
      <c r="D21" s="11"/>
      <c r="E21" s="11"/>
      <c r="F21" s="25">
        <v>23.348120000000002</v>
      </c>
      <c r="G21" s="25">
        <v>22.576020000000003</v>
      </c>
      <c r="H21" s="26">
        <v>19.31063</v>
      </c>
      <c r="I21" s="26">
        <v>21.604320000000001</v>
      </c>
      <c r="J21" s="26">
        <v>24.754979999999996</v>
      </c>
      <c r="K21" s="26">
        <v>19.621099999999998</v>
      </c>
      <c r="L21" s="26">
        <v>-3.9955200000000017</v>
      </c>
      <c r="M21" s="26">
        <v>23.78642</v>
      </c>
      <c r="N21" s="27">
        <v>32.243970000000004</v>
      </c>
      <c r="O21" s="26">
        <v>26.717209999999998</v>
      </c>
      <c r="P21" s="26">
        <v>41.78613</v>
      </c>
      <c r="Q21" s="28">
        <v>35.022600000000004</v>
      </c>
      <c r="R21" s="25">
        <f>SUM(F21:Q21)</f>
        <v>286.77598</v>
      </c>
    </row>
    <row r="22" spans="2:18" x14ac:dyDescent="0.2">
      <c r="B22" s="15" t="s">
        <v>11</v>
      </c>
      <c r="C22" s="11"/>
      <c r="D22" s="11"/>
      <c r="E22" s="11"/>
      <c r="F22" s="25">
        <v>55</v>
      </c>
      <c r="G22" s="25">
        <v>46.201119999999996</v>
      </c>
      <c r="H22" s="26">
        <v>17.93404</v>
      </c>
      <c r="I22" s="26">
        <v>28</v>
      </c>
      <c r="J22" s="37">
        <v>41.211689999999997</v>
      </c>
      <c r="K22" s="26">
        <v>39</v>
      </c>
      <c r="L22" s="26">
        <v>37.263089999999991</v>
      </c>
      <c r="M22" s="26">
        <v>53.276329999999994</v>
      </c>
      <c r="N22" s="27">
        <v>45.518899999999988</v>
      </c>
      <c r="O22" s="26">
        <v>47.189219999999999</v>
      </c>
      <c r="P22" s="26">
        <v>55.32349</v>
      </c>
      <c r="Q22" s="28">
        <v>49.52281</v>
      </c>
      <c r="R22" s="25">
        <f t="shared" ref="R22:R25" si="2">SUM(F22:Q22)</f>
        <v>515.4406899999999</v>
      </c>
    </row>
    <row r="23" spans="2:18" x14ac:dyDescent="0.2">
      <c r="B23" s="15" t="s">
        <v>13</v>
      </c>
      <c r="C23" s="11"/>
      <c r="D23" s="11"/>
      <c r="E23" s="11"/>
      <c r="F23" s="25">
        <v>151</v>
      </c>
      <c r="G23" s="25">
        <v>138</v>
      </c>
      <c r="H23" s="26">
        <v>124</v>
      </c>
      <c r="I23" s="26">
        <v>125</v>
      </c>
      <c r="J23" s="26">
        <v>147</v>
      </c>
      <c r="K23" s="26">
        <v>109</v>
      </c>
      <c r="L23" s="26">
        <v>124</v>
      </c>
      <c r="M23" s="26">
        <v>164.53441000000001</v>
      </c>
      <c r="N23" s="27">
        <v>137</v>
      </c>
      <c r="O23" s="26">
        <v>122</v>
      </c>
      <c r="P23" s="28">
        <v>254</v>
      </c>
      <c r="Q23" s="28">
        <v>289</v>
      </c>
      <c r="R23" s="25">
        <f t="shared" si="2"/>
        <v>1884.53441</v>
      </c>
    </row>
    <row r="24" spans="2:18" x14ac:dyDescent="0.2">
      <c r="B24" s="15" t="s">
        <v>14</v>
      </c>
      <c r="C24" s="11"/>
      <c r="D24" s="11"/>
      <c r="E24" s="11"/>
      <c r="F24" s="25">
        <v>11</v>
      </c>
      <c r="G24" s="25">
        <v>13.074169999999999</v>
      </c>
      <c r="H24" s="26">
        <v>19.17756</v>
      </c>
      <c r="I24" s="26">
        <v>18</v>
      </c>
      <c r="J24" s="26">
        <v>10.1129</v>
      </c>
      <c r="K24" s="26">
        <v>18.514340000000001</v>
      </c>
      <c r="L24" s="26">
        <v>16.058009999999999</v>
      </c>
      <c r="M24" s="26">
        <v>19.795459999999999</v>
      </c>
      <c r="N24" s="27">
        <v>14.568610000000001</v>
      </c>
      <c r="O24" s="26">
        <v>15.97838</v>
      </c>
      <c r="P24" s="28">
        <v>15.56808</v>
      </c>
      <c r="Q24" s="28">
        <v>17.12744</v>
      </c>
      <c r="R24" s="25">
        <f t="shared" si="2"/>
        <v>188.97495000000001</v>
      </c>
    </row>
    <row r="25" spans="2:18" x14ac:dyDescent="0.2">
      <c r="B25" s="15" t="s">
        <v>15</v>
      </c>
      <c r="C25" s="11"/>
      <c r="D25" s="11"/>
      <c r="E25" s="11"/>
      <c r="F25" s="25">
        <v>5</v>
      </c>
      <c r="G25" s="32">
        <v>-2.7405900000000001</v>
      </c>
      <c r="H25" s="25">
        <v>0</v>
      </c>
      <c r="I25" s="33" t="s">
        <v>48</v>
      </c>
      <c r="J25" s="26">
        <v>2</v>
      </c>
      <c r="K25" s="26">
        <v>0.38320999999999994</v>
      </c>
      <c r="L25" s="26">
        <v>2.5699399999999999</v>
      </c>
      <c r="M25" s="26">
        <v>1.3941600000000001</v>
      </c>
      <c r="N25" s="27">
        <v>3.5409799999999994</v>
      </c>
      <c r="O25" s="26">
        <v>1.5255099999999999</v>
      </c>
      <c r="P25" s="28">
        <v>3.5298299999999996</v>
      </c>
      <c r="Q25" s="28">
        <v>3.1516599999999997</v>
      </c>
      <c r="R25" s="25">
        <f t="shared" si="2"/>
        <v>20.354699999999998</v>
      </c>
    </row>
    <row r="26" spans="2:18" x14ac:dyDescent="0.2">
      <c r="B26" s="6" t="s">
        <v>36</v>
      </c>
      <c r="C26" s="6"/>
      <c r="D26" s="6"/>
      <c r="E26" s="7"/>
      <c r="F26" s="30">
        <f>SUM(F21:F25)</f>
        <v>245.34811999999999</v>
      </c>
      <c r="G26" s="30">
        <f t="shared" ref="G26:R26" si="3">SUM(G21:G25)</f>
        <v>217.11072000000001</v>
      </c>
      <c r="H26" s="30">
        <f t="shared" si="3"/>
        <v>180.42222999999998</v>
      </c>
      <c r="I26" s="30">
        <f t="shared" si="3"/>
        <v>192.60432</v>
      </c>
      <c r="J26" s="30">
        <f t="shared" si="3"/>
        <v>225.07956999999999</v>
      </c>
      <c r="K26" s="30">
        <f t="shared" si="3"/>
        <v>186.51865000000001</v>
      </c>
      <c r="L26" s="30">
        <f t="shared" si="3"/>
        <v>175.89551999999998</v>
      </c>
      <c r="M26" s="30">
        <f t="shared" si="3"/>
        <v>262.78678000000002</v>
      </c>
      <c r="N26" s="30">
        <f t="shared" si="3"/>
        <v>232.87245999999999</v>
      </c>
      <c r="O26" s="30">
        <f t="shared" si="3"/>
        <v>213.41031999999998</v>
      </c>
      <c r="P26" s="30">
        <f t="shared" si="3"/>
        <v>370.20753000000002</v>
      </c>
      <c r="Q26" s="30">
        <f t="shared" si="3"/>
        <v>393.82450999999998</v>
      </c>
      <c r="R26" s="30">
        <f t="shared" si="3"/>
        <v>2896.0807299999997</v>
      </c>
    </row>
  </sheetData>
  <pageMargins left="0.7" right="0.7" top="0.75" bottom="0.75" header="0.3" footer="0.3"/>
  <pageSetup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B1:R26"/>
  <sheetViews>
    <sheetView zoomScale="90" zoomScaleNormal="90" workbookViewId="0">
      <selection activeCell="O22" sqref="O22"/>
    </sheetView>
  </sheetViews>
  <sheetFormatPr defaultColWidth="9.140625" defaultRowHeight="12.75" x14ac:dyDescent="0.2"/>
  <cols>
    <col min="1" max="1" width="2.140625" style="15" customWidth="1"/>
    <col min="2" max="2" width="9.85546875" style="15" customWidth="1"/>
    <col min="3" max="4" width="9.140625" style="15"/>
    <col min="5" max="5" width="1.140625" style="15" customWidth="1"/>
    <col min="6" max="10" width="9.140625" style="15"/>
    <col min="11" max="11" width="9.140625" style="15" customWidth="1"/>
    <col min="12" max="12" width="8.28515625" style="15" customWidth="1"/>
    <col min="13" max="16384" width="9.140625" style="15"/>
  </cols>
  <sheetData>
    <row r="1" spans="2:18" s="1" customFormat="1" x14ac:dyDescent="0.2"/>
    <row r="2" spans="2:18" s="1" customFormat="1" ht="18.75" x14ac:dyDescent="0.3">
      <c r="B2" s="2" t="s">
        <v>20</v>
      </c>
    </row>
    <row r="3" spans="2:18" s="1" customFormat="1" ht="18.75" x14ac:dyDescent="0.3">
      <c r="B3" s="4"/>
    </row>
    <row r="4" spans="2:18" s="1" customFormat="1" ht="18.75" x14ac:dyDescent="0.3">
      <c r="B4" s="4" t="s">
        <v>47</v>
      </c>
    </row>
    <row r="5" spans="2:18" s="1" customFormat="1" x14ac:dyDescent="0.2"/>
    <row r="6" spans="2:18" s="1" customFormat="1" x14ac:dyDescent="0.2">
      <c r="B6" s="5"/>
      <c r="C6" s="6"/>
      <c r="D6" s="6"/>
      <c r="E6" s="7"/>
      <c r="F6" s="23" t="s">
        <v>21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3" t="s">
        <v>22</v>
      </c>
    </row>
    <row r="7" spans="2:18" s="1" customFormat="1" x14ac:dyDescent="0.2">
      <c r="B7" s="6" t="s">
        <v>23</v>
      </c>
      <c r="C7" s="6"/>
      <c r="D7" s="6"/>
      <c r="E7" s="7"/>
      <c r="F7" s="23">
        <v>43556</v>
      </c>
      <c r="G7" s="23">
        <v>43586</v>
      </c>
      <c r="H7" s="23">
        <v>43617</v>
      </c>
      <c r="I7" s="23">
        <v>43647</v>
      </c>
      <c r="J7" s="23">
        <v>43678</v>
      </c>
      <c r="K7" s="23">
        <v>43709</v>
      </c>
      <c r="L7" s="23">
        <v>43739</v>
      </c>
      <c r="M7" s="23">
        <v>43770</v>
      </c>
      <c r="N7" s="23">
        <v>43800</v>
      </c>
      <c r="O7" s="23">
        <v>43831</v>
      </c>
      <c r="P7" s="23">
        <v>43862</v>
      </c>
      <c r="Q7" s="23">
        <v>43891</v>
      </c>
      <c r="R7" s="23" t="s">
        <v>24</v>
      </c>
    </row>
    <row r="8" spans="2:18" s="1" customFormat="1" x14ac:dyDescent="0.2">
      <c r="B8" s="11" t="s">
        <v>25</v>
      </c>
      <c r="C8" s="11"/>
      <c r="D8" s="11"/>
      <c r="E8" s="11"/>
      <c r="F8" s="25">
        <v>1.3324800000000003</v>
      </c>
      <c r="G8" s="25">
        <v>27.00658</v>
      </c>
      <c r="H8" s="26">
        <v>20.642420000000001</v>
      </c>
      <c r="I8" s="26">
        <v>19</v>
      </c>
      <c r="J8" s="26">
        <v>23</v>
      </c>
      <c r="K8" s="26">
        <v>-28</v>
      </c>
      <c r="L8" s="26">
        <v>4</v>
      </c>
      <c r="M8" s="26">
        <v>3</v>
      </c>
      <c r="N8" s="27">
        <v>13</v>
      </c>
      <c r="O8" s="26">
        <v>0</v>
      </c>
      <c r="P8" s="26">
        <v>3.4988200000000003</v>
      </c>
      <c r="Q8" s="28">
        <v>0</v>
      </c>
      <c r="R8" s="25">
        <f>SUM(F8:Q8)</f>
        <v>86.4803</v>
      </c>
    </row>
    <row r="9" spans="2:18" s="1" customFormat="1" x14ac:dyDescent="0.2">
      <c r="B9" s="15" t="s">
        <v>26</v>
      </c>
      <c r="C9" s="11"/>
      <c r="D9" s="11"/>
      <c r="E9" s="11"/>
      <c r="F9" s="25">
        <v>49.179279999999999</v>
      </c>
      <c r="G9" s="25">
        <v>38.813000000000002</v>
      </c>
      <c r="H9" s="26">
        <v>39.973459999999996</v>
      </c>
      <c r="I9" s="26">
        <v>47</v>
      </c>
      <c r="J9" s="26">
        <v>20</v>
      </c>
      <c r="K9" s="26">
        <v>47</v>
      </c>
      <c r="L9" s="26">
        <v>34</v>
      </c>
      <c r="M9" s="26">
        <v>16</v>
      </c>
      <c r="N9" s="27">
        <v>39</v>
      </c>
      <c r="O9" s="26">
        <v>42.293620000000004</v>
      </c>
      <c r="P9" s="26">
        <v>43.701599999999999</v>
      </c>
      <c r="Q9" s="26">
        <v>67.921549999999996</v>
      </c>
      <c r="R9" s="25">
        <f t="shared" ref="R9:R15" si="0">SUM(F9:Q9)</f>
        <v>484.88251000000002</v>
      </c>
    </row>
    <row r="10" spans="2:18" s="1" customFormat="1" x14ac:dyDescent="0.2">
      <c r="B10" s="15" t="s">
        <v>27</v>
      </c>
      <c r="C10" s="11"/>
      <c r="D10" s="11"/>
      <c r="E10" s="11"/>
      <c r="F10" s="25">
        <v>17.867170000000002</v>
      </c>
      <c r="G10" s="25">
        <v>14.388479999999999</v>
      </c>
      <c r="H10" s="26">
        <v>14.309340000000002</v>
      </c>
      <c r="I10" s="26">
        <v>19</v>
      </c>
      <c r="J10" s="26">
        <v>20</v>
      </c>
      <c r="K10" s="26">
        <v>13</v>
      </c>
      <c r="L10" s="26">
        <v>0</v>
      </c>
      <c r="M10" s="26">
        <v>10</v>
      </c>
      <c r="N10" s="27">
        <v>10</v>
      </c>
      <c r="O10" s="26">
        <v>2.8542299999999998</v>
      </c>
      <c r="P10" s="26">
        <v>13.93798</v>
      </c>
      <c r="Q10" s="26">
        <v>-37.781580000000005</v>
      </c>
      <c r="R10" s="25">
        <f t="shared" si="0"/>
        <v>97.575620000000001</v>
      </c>
    </row>
    <row r="11" spans="2:18" s="1" customFormat="1" x14ac:dyDescent="0.2">
      <c r="B11" s="15" t="s">
        <v>28</v>
      </c>
      <c r="C11" s="11"/>
      <c r="D11" s="11"/>
      <c r="E11" s="11"/>
      <c r="F11" s="25">
        <v>4.0243000000000002</v>
      </c>
      <c r="G11" s="25">
        <v>7.2822700000000005</v>
      </c>
      <c r="H11" s="26">
        <v>5.0741000000000005</v>
      </c>
      <c r="I11" s="26">
        <v>0</v>
      </c>
      <c r="J11" s="26">
        <v>25</v>
      </c>
      <c r="K11" s="26">
        <v>-9</v>
      </c>
      <c r="L11" s="26">
        <v>-3</v>
      </c>
      <c r="M11" s="26">
        <v>0</v>
      </c>
      <c r="N11" s="27">
        <v>0</v>
      </c>
      <c r="O11" s="26">
        <v>0</v>
      </c>
      <c r="P11" s="26">
        <v>-2.9129999999999998</v>
      </c>
      <c r="Q11" s="26">
        <v>0</v>
      </c>
      <c r="R11" s="25">
        <f t="shared" si="0"/>
        <v>26.467670000000002</v>
      </c>
    </row>
    <row r="12" spans="2:18" s="1" customFormat="1" x14ac:dyDescent="0.2">
      <c r="B12" s="15" t="s">
        <v>29</v>
      </c>
      <c r="C12" s="11"/>
      <c r="D12" s="11"/>
      <c r="E12" s="11"/>
      <c r="F12" s="25">
        <v>75.739349999999988</v>
      </c>
      <c r="G12" s="25">
        <v>36.661739999999995</v>
      </c>
      <c r="H12" s="26">
        <v>40.625910000000005</v>
      </c>
      <c r="I12" s="26">
        <v>27</v>
      </c>
      <c r="J12" s="26">
        <v>22</v>
      </c>
      <c r="K12" s="26">
        <v>32</v>
      </c>
      <c r="L12" s="26">
        <v>7</v>
      </c>
      <c r="M12" s="26">
        <v>3</v>
      </c>
      <c r="N12" s="27">
        <v>10</v>
      </c>
      <c r="O12" s="26">
        <v>3.5720299999999998</v>
      </c>
      <c r="P12" s="26">
        <v>2.3039999999999998E-2</v>
      </c>
      <c r="Q12" s="26">
        <v>-9.0085100000000011</v>
      </c>
      <c r="R12" s="25">
        <f t="shared" si="0"/>
        <v>248.61355999999995</v>
      </c>
    </row>
    <row r="13" spans="2:18" s="1" customFormat="1" x14ac:dyDescent="0.2">
      <c r="B13" s="15" t="s">
        <v>30</v>
      </c>
      <c r="C13" s="11"/>
      <c r="D13" s="11"/>
      <c r="E13" s="11"/>
      <c r="F13" s="25"/>
      <c r="G13" s="25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7">
        <v>0</v>
      </c>
      <c r="O13" s="26">
        <v>0</v>
      </c>
      <c r="P13" s="26">
        <v>0</v>
      </c>
      <c r="Q13" s="26">
        <v>0</v>
      </c>
      <c r="R13" s="25">
        <f t="shared" si="0"/>
        <v>0</v>
      </c>
    </row>
    <row r="14" spans="2:18" s="1" customFormat="1" x14ac:dyDescent="0.2">
      <c r="B14" s="15" t="s">
        <v>31</v>
      </c>
      <c r="C14" s="11"/>
      <c r="D14" s="11"/>
      <c r="E14" s="11"/>
      <c r="F14" s="25">
        <v>-7.655149999999999</v>
      </c>
      <c r="G14" s="25">
        <v>42.862639999999999</v>
      </c>
      <c r="H14" s="26">
        <v>14.994539999999999</v>
      </c>
      <c r="I14" s="26">
        <v>102</v>
      </c>
      <c r="J14" s="26">
        <v>34</v>
      </c>
      <c r="K14" s="26">
        <v>48</v>
      </c>
      <c r="L14" s="26">
        <v>21</v>
      </c>
      <c r="M14" s="26">
        <v>25</v>
      </c>
      <c r="N14" s="27">
        <v>23</v>
      </c>
      <c r="O14" s="26">
        <v>23.149779999999996</v>
      </c>
      <c r="P14" s="26">
        <v>3.9051100000000005</v>
      </c>
      <c r="Q14" s="26">
        <v>-34.936439999999997</v>
      </c>
      <c r="R14" s="25">
        <f t="shared" si="0"/>
        <v>295.32048000000003</v>
      </c>
    </row>
    <row r="15" spans="2:18" x14ac:dyDescent="0.2">
      <c r="B15" s="15" t="s">
        <v>32</v>
      </c>
      <c r="C15" s="11"/>
      <c r="D15" s="11"/>
      <c r="E15" s="11"/>
      <c r="F15" s="29">
        <v>26.182219999999997</v>
      </c>
      <c r="G15" s="29">
        <v>28.98564</v>
      </c>
      <c r="H15" s="26">
        <v>23.697530000000004</v>
      </c>
      <c r="I15" s="26">
        <v>25</v>
      </c>
      <c r="J15" s="26">
        <v>59</v>
      </c>
      <c r="K15" s="26">
        <v>24</v>
      </c>
      <c r="L15" s="26">
        <v>21</v>
      </c>
      <c r="M15" s="26">
        <v>16</v>
      </c>
      <c r="N15" s="27">
        <v>17</v>
      </c>
      <c r="O15" s="26">
        <v>21.459490000000002</v>
      </c>
      <c r="P15" s="26">
        <v>20.352800000000002</v>
      </c>
      <c r="Q15" s="26">
        <v>-78.061160000000001</v>
      </c>
      <c r="R15" s="25">
        <f t="shared" si="0"/>
        <v>204.61652000000001</v>
      </c>
    </row>
    <row r="16" spans="2:18" x14ac:dyDescent="0.2">
      <c r="B16" s="6" t="s">
        <v>33</v>
      </c>
      <c r="C16" s="6"/>
      <c r="D16" s="6"/>
      <c r="E16" s="7"/>
      <c r="F16" s="30">
        <f t="shared" ref="F16:R16" si="1">SUM(F8:F15)</f>
        <v>166.66964999999999</v>
      </c>
      <c r="G16" s="30">
        <f t="shared" si="1"/>
        <v>196.00034999999997</v>
      </c>
      <c r="H16" s="30">
        <f t="shared" si="1"/>
        <v>159.31729999999999</v>
      </c>
      <c r="I16" s="30">
        <f t="shared" si="1"/>
        <v>239</v>
      </c>
      <c r="J16" s="30">
        <f t="shared" si="1"/>
        <v>203</v>
      </c>
      <c r="K16" s="30">
        <f t="shared" si="1"/>
        <v>127</v>
      </c>
      <c r="L16" s="30">
        <f>SUM(L8:L15)</f>
        <v>84</v>
      </c>
      <c r="M16" s="30">
        <f t="shared" si="1"/>
        <v>73</v>
      </c>
      <c r="N16" s="30">
        <f t="shared" si="1"/>
        <v>112</v>
      </c>
      <c r="O16" s="30">
        <f>SUM(O8:O15)</f>
        <v>93.329149999999998</v>
      </c>
      <c r="P16" s="30">
        <f t="shared" si="1"/>
        <v>82.506350000000012</v>
      </c>
      <c r="Q16" s="30">
        <f t="shared" si="1"/>
        <v>-91.866140000000001</v>
      </c>
      <c r="R16" s="30">
        <f t="shared" si="1"/>
        <v>1443.9566600000001</v>
      </c>
    </row>
    <row r="17" spans="2:18" x14ac:dyDescent="0.2">
      <c r="B17" s="15" t="s">
        <v>34</v>
      </c>
    </row>
    <row r="19" spans="2:18" x14ac:dyDescent="0.2">
      <c r="B19" s="5"/>
      <c r="C19" s="6"/>
      <c r="D19" s="6"/>
      <c r="E19" s="7"/>
      <c r="F19" s="23" t="s">
        <v>21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3" t="s">
        <v>22</v>
      </c>
    </row>
    <row r="20" spans="2:18" x14ac:dyDescent="0.2">
      <c r="B20" s="6" t="s">
        <v>35</v>
      </c>
      <c r="C20" s="6"/>
      <c r="D20" s="6"/>
      <c r="E20" s="7"/>
      <c r="F20" s="23">
        <v>43556</v>
      </c>
      <c r="G20" s="23">
        <v>43586</v>
      </c>
      <c r="H20" s="23">
        <v>43617</v>
      </c>
      <c r="I20" s="23">
        <v>43647</v>
      </c>
      <c r="J20" s="23">
        <v>43678</v>
      </c>
      <c r="K20" s="23">
        <v>43709</v>
      </c>
      <c r="L20" s="23">
        <v>43739</v>
      </c>
      <c r="M20" s="23">
        <v>43770</v>
      </c>
      <c r="N20" s="23">
        <v>43800</v>
      </c>
      <c r="O20" s="23">
        <v>43831</v>
      </c>
      <c r="P20" s="23">
        <v>43862</v>
      </c>
      <c r="Q20" s="23">
        <v>43891</v>
      </c>
      <c r="R20" s="23" t="s">
        <v>24</v>
      </c>
    </row>
    <row r="21" spans="2:18" x14ac:dyDescent="0.2">
      <c r="B21" s="11" t="s">
        <v>8</v>
      </c>
      <c r="C21" s="11"/>
      <c r="D21" s="11"/>
      <c r="E21" s="11"/>
      <c r="F21" s="25">
        <v>21.78415</v>
      </c>
      <c r="G21" s="25">
        <v>17.43188</v>
      </c>
      <c r="H21" s="26">
        <v>18.42905</v>
      </c>
      <c r="I21" s="26">
        <v>22</v>
      </c>
      <c r="J21" s="26">
        <v>20</v>
      </c>
      <c r="K21" s="26">
        <v>19</v>
      </c>
      <c r="L21" s="26">
        <v>22</v>
      </c>
      <c r="M21" s="26">
        <v>21</v>
      </c>
      <c r="N21" s="27">
        <v>19</v>
      </c>
      <c r="O21" s="26">
        <v>22.527440000000002</v>
      </c>
      <c r="P21" s="26">
        <v>29.49682</v>
      </c>
      <c r="Q21" s="28">
        <v>23.792700000000004</v>
      </c>
      <c r="R21" s="25">
        <f t="shared" ref="R21:R25" si="2">SUM(F21:Q21)</f>
        <v>256.46204000000006</v>
      </c>
    </row>
    <row r="22" spans="2:18" x14ac:dyDescent="0.2">
      <c r="B22" s="15" t="s">
        <v>11</v>
      </c>
      <c r="C22" s="11"/>
      <c r="D22" s="11"/>
      <c r="E22" s="11"/>
      <c r="F22" s="25">
        <v>44.366350000000011</v>
      </c>
      <c r="G22" s="25">
        <v>33.040499999999994</v>
      </c>
      <c r="H22" s="26">
        <v>32.774800000000006</v>
      </c>
      <c r="I22" s="26">
        <v>35</v>
      </c>
      <c r="J22" s="26">
        <v>24</v>
      </c>
      <c r="K22" s="26">
        <v>40</v>
      </c>
      <c r="L22" s="26">
        <v>40</v>
      </c>
      <c r="M22" s="26">
        <v>33</v>
      </c>
      <c r="N22" s="27">
        <v>25</v>
      </c>
      <c r="O22" s="26">
        <v>23.730239999999995</v>
      </c>
      <c r="P22" s="26">
        <v>37.908439999999992</v>
      </c>
      <c r="Q22" s="28">
        <v>40.420479999999998</v>
      </c>
      <c r="R22" s="25">
        <f t="shared" si="2"/>
        <v>409.24080999999995</v>
      </c>
    </row>
    <row r="23" spans="2:18" x14ac:dyDescent="0.2">
      <c r="B23" s="15" t="s">
        <v>13</v>
      </c>
      <c r="C23" s="11"/>
      <c r="D23" s="11"/>
      <c r="E23" s="11"/>
      <c r="F23" s="25">
        <v>135</v>
      </c>
      <c r="G23" s="25">
        <v>79</v>
      </c>
      <c r="H23" s="26">
        <v>82</v>
      </c>
      <c r="I23" s="26">
        <v>109</v>
      </c>
      <c r="J23" s="26">
        <v>55</v>
      </c>
      <c r="K23" s="26">
        <v>100</v>
      </c>
      <c r="L23" s="26">
        <v>108</v>
      </c>
      <c r="M23" s="26">
        <v>109</v>
      </c>
      <c r="N23" s="27">
        <v>102</v>
      </c>
      <c r="O23" s="26">
        <v>66.811000000000007</v>
      </c>
      <c r="P23" s="28">
        <v>99</v>
      </c>
      <c r="Q23" s="28">
        <v>168</v>
      </c>
      <c r="R23" s="25">
        <f t="shared" si="2"/>
        <v>1212.8110000000001</v>
      </c>
    </row>
    <row r="24" spans="2:18" x14ac:dyDescent="0.2">
      <c r="B24" s="15" t="s">
        <v>14</v>
      </c>
      <c r="C24" s="11"/>
      <c r="D24" s="11"/>
      <c r="E24" s="11"/>
      <c r="F24" s="25">
        <v>9.9563799999999993</v>
      </c>
      <c r="G24" s="25">
        <v>21.323610000000002</v>
      </c>
      <c r="H24" s="26">
        <v>13.53176</v>
      </c>
      <c r="I24" s="26">
        <v>8</v>
      </c>
      <c r="J24" s="26">
        <v>12</v>
      </c>
      <c r="K24" s="26">
        <v>12</v>
      </c>
      <c r="L24" s="26">
        <v>12</v>
      </c>
      <c r="M24" s="26">
        <v>16</v>
      </c>
      <c r="N24" s="27">
        <v>28</v>
      </c>
      <c r="O24" s="26">
        <v>8.3473600000000001</v>
      </c>
      <c r="P24" s="28">
        <v>9</v>
      </c>
      <c r="Q24" s="28">
        <v>11.75409</v>
      </c>
      <c r="R24" s="25">
        <f t="shared" si="2"/>
        <v>161.91320000000002</v>
      </c>
    </row>
    <row r="25" spans="2:18" x14ac:dyDescent="0.2">
      <c r="B25" s="15" t="s">
        <v>15</v>
      </c>
      <c r="C25" s="11"/>
      <c r="D25" s="11"/>
      <c r="E25" s="11"/>
      <c r="F25" s="25">
        <v>16.881360000000001</v>
      </c>
      <c r="G25" s="25">
        <v>-10.33188</v>
      </c>
      <c r="H25" s="26">
        <v>5.2973600000000003</v>
      </c>
      <c r="I25" s="26">
        <v>10</v>
      </c>
      <c r="J25" s="26">
        <v>7</v>
      </c>
      <c r="K25" s="26">
        <v>4</v>
      </c>
      <c r="L25" s="26">
        <v>4</v>
      </c>
      <c r="M25" s="26">
        <v>4</v>
      </c>
      <c r="N25" s="27">
        <v>-15</v>
      </c>
      <c r="O25" s="26">
        <v>1.9576500000000001</v>
      </c>
      <c r="P25" s="28">
        <v>3</v>
      </c>
      <c r="Q25" s="28">
        <v>0.60569000000000006</v>
      </c>
      <c r="R25" s="25">
        <f t="shared" si="2"/>
        <v>31.41018</v>
      </c>
    </row>
    <row r="26" spans="2:18" x14ac:dyDescent="0.2">
      <c r="B26" s="6" t="s">
        <v>36</v>
      </c>
      <c r="C26" s="6"/>
      <c r="D26" s="6"/>
      <c r="E26" s="7"/>
      <c r="F26" s="30">
        <f>SUM(F21:F25)</f>
        <v>227.98824000000002</v>
      </c>
      <c r="G26" s="30">
        <f t="shared" ref="G26:R26" si="3">SUM(G21:G25)</f>
        <v>140.46410999999998</v>
      </c>
      <c r="H26" s="30">
        <f t="shared" si="3"/>
        <v>152.03296999999998</v>
      </c>
      <c r="I26" s="30">
        <f t="shared" si="3"/>
        <v>184</v>
      </c>
      <c r="J26" s="30">
        <f t="shared" si="3"/>
        <v>118</v>
      </c>
      <c r="K26" s="30">
        <f t="shared" si="3"/>
        <v>175</v>
      </c>
      <c r="L26" s="30">
        <f t="shared" si="3"/>
        <v>186</v>
      </c>
      <c r="M26" s="30">
        <f t="shared" si="3"/>
        <v>183</v>
      </c>
      <c r="N26" s="30">
        <f t="shared" si="3"/>
        <v>159</v>
      </c>
      <c r="O26" s="30">
        <f t="shared" si="3"/>
        <v>123.37369</v>
      </c>
      <c r="P26" s="30">
        <f t="shared" si="3"/>
        <v>178.40526</v>
      </c>
      <c r="Q26" s="30">
        <f t="shared" si="3"/>
        <v>244.57295999999999</v>
      </c>
      <c r="R26" s="30">
        <f t="shared" si="3"/>
        <v>2071.8372300000001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5:N63"/>
  <sheetViews>
    <sheetView workbookViewId="0">
      <selection activeCell="F46" sqref="F46"/>
    </sheetView>
  </sheetViews>
  <sheetFormatPr defaultRowHeight="12.75" x14ac:dyDescent="0.2"/>
  <cols>
    <col min="1" max="1" width="22.42578125" bestFit="1" customWidth="1"/>
    <col min="2" max="2" width="37" bestFit="1" customWidth="1"/>
    <col min="3" max="3" width="2.42578125" customWidth="1"/>
    <col min="4" max="5" width="16.7109375" bestFit="1" customWidth="1"/>
    <col min="6" max="6" width="22" bestFit="1" customWidth="1"/>
    <col min="7" max="7" width="2.42578125" customWidth="1"/>
    <col min="8" max="9" width="16.7109375" bestFit="1" customWidth="1"/>
    <col min="10" max="10" width="22" bestFit="1" customWidth="1"/>
    <col min="11" max="11" width="2.42578125" customWidth="1"/>
    <col min="12" max="13" width="16.7109375" bestFit="1" customWidth="1"/>
    <col min="14" max="14" width="22" bestFit="1" customWidth="1"/>
  </cols>
  <sheetData>
    <row r="5" spans="1:14" x14ac:dyDescent="0.2">
      <c r="C5" t="s">
        <v>56</v>
      </c>
    </row>
    <row r="7" spans="1:14" x14ac:dyDescent="0.2">
      <c r="C7" t="s">
        <v>58</v>
      </c>
    </row>
    <row r="10" spans="1:14" x14ac:dyDescent="0.2">
      <c r="D10" s="56" t="s">
        <v>59</v>
      </c>
      <c r="E10" s="56"/>
      <c r="F10" s="56"/>
      <c r="H10" s="56" t="s">
        <v>60</v>
      </c>
      <c r="I10" s="56"/>
      <c r="J10" s="56"/>
      <c r="L10" s="56" t="s">
        <v>73</v>
      </c>
      <c r="M10" s="56"/>
      <c r="N10" s="56"/>
    </row>
    <row r="11" spans="1:14" x14ac:dyDescent="0.2">
      <c r="A11" s="6" t="s">
        <v>81</v>
      </c>
      <c r="B11" s="6" t="s">
        <v>80</v>
      </c>
      <c r="D11" s="41" t="s">
        <v>53</v>
      </c>
      <c r="E11" s="41" t="s">
        <v>55</v>
      </c>
      <c r="F11" s="41" t="s">
        <v>86</v>
      </c>
      <c r="H11" s="41" t="s">
        <v>53</v>
      </c>
      <c r="I11" s="41" t="s">
        <v>55</v>
      </c>
      <c r="J11" s="41" t="s">
        <v>86</v>
      </c>
      <c r="L11" s="41" t="s">
        <v>53</v>
      </c>
      <c r="M11" s="41" t="s">
        <v>55</v>
      </c>
      <c r="N11" s="41" t="s">
        <v>86</v>
      </c>
    </row>
    <row r="12" spans="1:14" x14ac:dyDescent="0.2">
      <c r="A12" s="42" t="s">
        <v>62</v>
      </c>
      <c r="B12" s="42" t="s">
        <v>82</v>
      </c>
      <c r="D12" s="50">
        <v>73</v>
      </c>
      <c r="E12" s="39">
        <v>73</v>
      </c>
      <c r="F12" s="39">
        <v>73</v>
      </c>
      <c r="H12" s="39">
        <v>89</v>
      </c>
      <c r="I12" s="39">
        <v>89</v>
      </c>
      <c r="J12" s="39">
        <v>89</v>
      </c>
      <c r="L12" s="39">
        <v>116</v>
      </c>
      <c r="M12" s="39">
        <v>116</v>
      </c>
      <c r="N12" s="39">
        <v>116</v>
      </c>
    </row>
    <row r="13" spans="1:14" x14ac:dyDescent="0.2">
      <c r="A13" s="42" t="s">
        <v>63</v>
      </c>
      <c r="B13" s="42" t="s">
        <v>82</v>
      </c>
      <c r="D13" s="50">
        <v>20</v>
      </c>
      <c r="E13" s="39">
        <v>20</v>
      </c>
      <c r="F13" s="39">
        <v>20</v>
      </c>
      <c r="H13" s="39">
        <v>29</v>
      </c>
      <c r="I13" s="39">
        <v>29</v>
      </c>
      <c r="J13" s="39">
        <v>29</v>
      </c>
      <c r="L13" s="39">
        <v>28</v>
      </c>
      <c r="M13" s="39">
        <v>28</v>
      </c>
      <c r="N13" s="39">
        <v>28</v>
      </c>
    </row>
    <row r="14" spans="1:14" x14ac:dyDescent="0.2">
      <c r="A14" s="42" t="s">
        <v>64</v>
      </c>
      <c r="B14" s="42" t="s">
        <v>82</v>
      </c>
      <c r="D14" s="50">
        <v>13</v>
      </c>
      <c r="E14" s="39">
        <v>13</v>
      </c>
      <c r="F14" s="39">
        <v>13</v>
      </c>
      <c r="H14" s="39">
        <v>13</v>
      </c>
      <c r="I14" s="39">
        <v>13</v>
      </c>
      <c r="J14" s="39">
        <v>13</v>
      </c>
      <c r="L14" s="39">
        <v>12</v>
      </c>
      <c r="M14" s="39">
        <v>12</v>
      </c>
      <c r="N14" s="39">
        <v>12</v>
      </c>
    </row>
    <row r="15" spans="1:14" x14ac:dyDescent="0.2">
      <c r="A15" s="42" t="s">
        <v>65</v>
      </c>
      <c r="B15" s="42" t="s">
        <v>83</v>
      </c>
      <c r="D15" s="50">
        <v>16</v>
      </c>
      <c r="E15" s="39">
        <v>16</v>
      </c>
      <c r="F15" s="39">
        <v>0</v>
      </c>
      <c r="H15" s="39">
        <v>22</v>
      </c>
      <c r="I15" s="39">
        <v>22</v>
      </c>
      <c r="J15" s="39">
        <v>0</v>
      </c>
      <c r="L15" s="39">
        <v>18</v>
      </c>
      <c r="M15" s="39">
        <v>18</v>
      </c>
      <c r="N15" s="39">
        <v>0</v>
      </c>
    </row>
    <row r="16" spans="1:14" x14ac:dyDescent="0.2">
      <c r="A16" s="42" t="s">
        <v>66</v>
      </c>
      <c r="B16" s="42" t="s">
        <v>83</v>
      </c>
      <c r="D16" s="50">
        <v>57</v>
      </c>
      <c r="E16" s="39">
        <v>57</v>
      </c>
      <c r="F16" s="39">
        <v>0</v>
      </c>
      <c r="H16" s="39">
        <v>54</v>
      </c>
      <c r="I16" s="39">
        <v>54</v>
      </c>
      <c r="J16" s="39">
        <v>0</v>
      </c>
      <c r="L16" s="39">
        <v>47</v>
      </c>
      <c r="M16" s="39">
        <v>47</v>
      </c>
      <c r="N16" s="39">
        <v>0</v>
      </c>
    </row>
    <row r="17" spans="1:14" x14ac:dyDescent="0.2">
      <c r="A17" s="42" t="s">
        <v>67</v>
      </c>
      <c r="B17" s="42" t="s">
        <v>84</v>
      </c>
      <c r="D17" s="50">
        <v>10</v>
      </c>
      <c r="E17" s="39">
        <v>10</v>
      </c>
      <c r="F17" s="39">
        <v>10</v>
      </c>
      <c r="H17" s="39">
        <v>8</v>
      </c>
      <c r="I17" s="39">
        <v>8</v>
      </c>
      <c r="J17" s="39">
        <v>8</v>
      </c>
      <c r="L17" s="39">
        <v>8</v>
      </c>
      <c r="M17" s="39">
        <v>8</v>
      </c>
      <c r="N17" s="39">
        <v>8</v>
      </c>
    </row>
    <row r="18" spans="1:14" x14ac:dyDescent="0.2">
      <c r="A18" s="42" t="s">
        <v>68</v>
      </c>
      <c r="B18" s="42" t="s">
        <v>82</v>
      </c>
      <c r="D18" s="50">
        <v>12</v>
      </c>
      <c r="E18" s="39">
        <v>12</v>
      </c>
      <c r="F18" s="39">
        <v>12</v>
      </c>
      <c r="H18" s="39">
        <v>8</v>
      </c>
      <c r="I18" s="39">
        <v>8</v>
      </c>
      <c r="J18" s="39">
        <v>8</v>
      </c>
      <c r="L18" s="39">
        <v>44</v>
      </c>
      <c r="M18" s="39">
        <v>21</v>
      </c>
      <c r="N18" s="39">
        <v>44</v>
      </c>
    </row>
    <row r="19" spans="1:14" x14ac:dyDescent="0.2">
      <c r="A19" s="42" t="s">
        <v>69</v>
      </c>
      <c r="B19" s="42" t="s">
        <v>85</v>
      </c>
      <c r="D19" s="50">
        <v>9</v>
      </c>
      <c r="E19" s="39">
        <v>9</v>
      </c>
      <c r="F19" s="39">
        <v>9</v>
      </c>
      <c r="H19" s="39">
        <v>11</v>
      </c>
      <c r="I19" s="39">
        <v>11</v>
      </c>
      <c r="J19" s="39">
        <v>11</v>
      </c>
      <c r="L19" s="39">
        <v>12</v>
      </c>
      <c r="M19" s="39">
        <v>12</v>
      </c>
      <c r="N19" s="39">
        <v>12</v>
      </c>
    </row>
    <row r="20" spans="1:14" x14ac:dyDescent="0.2">
      <c r="A20" s="6" t="s">
        <v>61</v>
      </c>
      <c r="B20" s="6"/>
      <c r="D20" s="40">
        <f>SUM(D12:D19)</f>
        <v>210</v>
      </c>
      <c r="E20" s="40">
        <f t="shared" ref="E20:F20" si="0">SUM(E12:E19)</f>
        <v>210</v>
      </c>
      <c r="F20" s="40">
        <f t="shared" si="0"/>
        <v>137</v>
      </c>
      <c r="H20" s="40">
        <f t="shared" ref="H20:J20" si="1">SUM(H12:H19)</f>
        <v>234</v>
      </c>
      <c r="I20" s="40">
        <f t="shared" si="1"/>
        <v>234</v>
      </c>
      <c r="J20" s="40">
        <f t="shared" si="1"/>
        <v>158</v>
      </c>
      <c r="L20" s="40">
        <f t="shared" ref="L20:N20" si="2">SUM(L12:L19)</f>
        <v>285</v>
      </c>
      <c r="M20" s="40">
        <f t="shared" si="2"/>
        <v>262</v>
      </c>
      <c r="N20" s="40">
        <f t="shared" si="2"/>
        <v>220</v>
      </c>
    </row>
    <row r="21" spans="1:14" x14ac:dyDescent="0.2">
      <c r="A21" s="38"/>
      <c r="B21" s="38"/>
    </row>
    <row r="22" spans="1:14" x14ac:dyDescent="0.2">
      <c r="A22" s="38"/>
      <c r="B22" s="38"/>
    </row>
    <row r="23" spans="1:14" x14ac:dyDescent="0.2">
      <c r="D23" s="56" t="s">
        <v>74</v>
      </c>
      <c r="E23" s="56"/>
      <c r="F23" s="56"/>
      <c r="H23" s="57">
        <v>44409</v>
      </c>
      <c r="I23" s="56"/>
      <c r="J23" s="56"/>
      <c r="L23" s="57">
        <v>44440</v>
      </c>
      <c r="M23" s="56"/>
      <c r="N23" s="56"/>
    </row>
    <row r="24" spans="1:14" x14ac:dyDescent="0.2">
      <c r="A24" s="6" t="s">
        <v>81</v>
      </c>
      <c r="B24" s="6" t="s">
        <v>80</v>
      </c>
      <c r="D24" s="41" t="s">
        <v>53</v>
      </c>
      <c r="E24" s="41" t="s">
        <v>55</v>
      </c>
      <c r="F24" s="41" t="s">
        <v>86</v>
      </c>
      <c r="H24" s="41" t="s">
        <v>53</v>
      </c>
      <c r="I24" s="41" t="s">
        <v>55</v>
      </c>
      <c r="J24" s="41" t="s">
        <v>86</v>
      </c>
      <c r="L24" s="41" t="s">
        <v>53</v>
      </c>
      <c r="M24" s="41" t="s">
        <v>55</v>
      </c>
      <c r="N24" s="41" t="s">
        <v>86</v>
      </c>
    </row>
    <row r="25" spans="1:14" x14ac:dyDescent="0.2">
      <c r="A25" s="42" t="s">
        <v>62</v>
      </c>
      <c r="B25" s="42" t="s">
        <v>82</v>
      </c>
      <c r="D25" s="39">
        <v>129</v>
      </c>
      <c r="E25">
        <v>129</v>
      </c>
      <c r="F25" s="39">
        <v>129</v>
      </c>
      <c r="H25" s="39">
        <f>21+27+19+12+3</f>
        <v>82</v>
      </c>
      <c r="I25" s="39">
        <f>21+27+19+12+3</f>
        <v>82</v>
      </c>
      <c r="J25" s="39">
        <f>21+27+19+12+3</f>
        <v>82</v>
      </c>
      <c r="L25" s="39">
        <f>17+23+28+29+24</f>
        <v>121</v>
      </c>
      <c r="M25" s="39">
        <f>17+23+28+29+24</f>
        <v>121</v>
      </c>
      <c r="N25" s="39">
        <f>17+23+28+29+24</f>
        <v>121</v>
      </c>
    </row>
    <row r="26" spans="1:14" x14ac:dyDescent="0.2">
      <c r="A26" s="42" t="s">
        <v>63</v>
      </c>
      <c r="B26" s="42" t="s">
        <v>82</v>
      </c>
      <c r="D26" s="39">
        <v>28</v>
      </c>
      <c r="E26">
        <v>28</v>
      </c>
      <c r="F26" s="39">
        <v>28</v>
      </c>
      <c r="H26" s="39">
        <f>2+8+8+5+2+2</f>
        <v>27</v>
      </c>
      <c r="I26" s="39">
        <f>2+8+8+5+2+2</f>
        <v>27</v>
      </c>
      <c r="J26" s="39">
        <f>2+8+8+5+2+2</f>
        <v>27</v>
      </c>
      <c r="L26" s="39">
        <f>2+5+4+1</f>
        <v>12</v>
      </c>
      <c r="M26" s="39">
        <f>2+5+4+1</f>
        <v>12</v>
      </c>
      <c r="N26" s="39">
        <f>2+5+4+1</f>
        <v>12</v>
      </c>
    </row>
    <row r="27" spans="1:14" x14ac:dyDescent="0.2">
      <c r="A27" s="42" t="s">
        <v>64</v>
      </c>
      <c r="B27" s="42" t="s">
        <v>82</v>
      </c>
      <c r="D27" s="39">
        <v>13</v>
      </c>
      <c r="E27">
        <v>13</v>
      </c>
      <c r="F27" s="39">
        <v>13</v>
      </c>
      <c r="H27" s="39">
        <f>3+2+3+2+1</f>
        <v>11</v>
      </c>
      <c r="I27" s="39">
        <f>3+2+3+2+1</f>
        <v>11</v>
      </c>
      <c r="J27" s="39">
        <f>3+2+3+2+1</f>
        <v>11</v>
      </c>
      <c r="L27" s="39">
        <v>1</v>
      </c>
      <c r="M27" s="39">
        <v>1</v>
      </c>
      <c r="N27" s="39">
        <v>1</v>
      </c>
    </row>
    <row r="28" spans="1:14" x14ac:dyDescent="0.2">
      <c r="A28" s="42" t="s">
        <v>65</v>
      </c>
      <c r="B28" s="42" t="s">
        <v>83</v>
      </c>
      <c r="D28" s="39">
        <v>14</v>
      </c>
      <c r="E28">
        <v>14</v>
      </c>
      <c r="F28" s="39">
        <v>0</v>
      </c>
      <c r="H28" s="39">
        <f>5+5+5+5</f>
        <v>20</v>
      </c>
      <c r="I28" s="39">
        <f>5+5+5+5</f>
        <v>20</v>
      </c>
      <c r="J28" s="39">
        <v>0</v>
      </c>
      <c r="L28" s="39">
        <f>5+5+5+4</f>
        <v>19</v>
      </c>
      <c r="M28" s="39">
        <f>5+5+5+4</f>
        <v>19</v>
      </c>
      <c r="N28" s="39">
        <v>0</v>
      </c>
    </row>
    <row r="29" spans="1:14" x14ac:dyDescent="0.2">
      <c r="A29" s="42" t="s">
        <v>66</v>
      </c>
      <c r="B29" s="42" t="s">
        <v>83</v>
      </c>
      <c r="D29" s="39">
        <v>50</v>
      </c>
      <c r="E29">
        <v>50</v>
      </c>
      <c r="F29" s="39">
        <v>0</v>
      </c>
      <c r="H29" s="39">
        <f>9+6+14+15+3</f>
        <v>47</v>
      </c>
      <c r="I29" s="39">
        <f>9+6+14+15+3</f>
        <v>47</v>
      </c>
      <c r="J29" s="39">
        <v>0</v>
      </c>
      <c r="L29" s="39">
        <f>9+13+16+5+12</f>
        <v>55</v>
      </c>
      <c r="M29" s="39">
        <f>9+13+16+5+12</f>
        <v>55</v>
      </c>
      <c r="N29" s="39">
        <v>0</v>
      </c>
    </row>
    <row r="30" spans="1:14" x14ac:dyDescent="0.2">
      <c r="A30" s="42" t="s">
        <v>67</v>
      </c>
      <c r="B30" s="42" t="s">
        <v>84</v>
      </c>
      <c r="D30" s="39">
        <v>10</v>
      </c>
      <c r="E30">
        <v>10</v>
      </c>
      <c r="F30" s="39">
        <v>10</v>
      </c>
      <c r="H30" s="39">
        <f>2+2+1+3</f>
        <v>8</v>
      </c>
      <c r="I30" s="39">
        <f>2+2+1+3</f>
        <v>8</v>
      </c>
      <c r="J30" s="39">
        <f>2+2+1+3</f>
        <v>8</v>
      </c>
      <c r="L30" s="39">
        <f>2+3+3+1+1</f>
        <v>10</v>
      </c>
      <c r="M30" s="39">
        <f>2+3+3+1+1</f>
        <v>10</v>
      </c>
      <c r="N30" s="39">
        <f>2+3+3+1+1</f>
        <v>10</v>
      </c>
    </row>
    <row r="31" spans="1:14" x14ac:dyDescent="0.2">
      <c r="A31" s="42" t="s">
        <v>68</v>
      </c>
      <c r="B31" s="42" t="s">
        <v>82</v>
      </c>
      <c r="D31" s="39">
        <v>221</v>
      </c>
      <c r="E31">
        <v>10</v>
      </c>
      <c r="F31" s="39">
        <v>221</v>
      </c>
      <c r="H31" s="39">
        <f>12+58+68+56+59+18</f>
        <v>271</v>
      </c>
      <c r="I31" s="39">
        <f>8+0+4+3+7+2</f>
        <v>24</v>
      </c>
      <c r="J31" s="39">
        <f>12+58+68+56+59+18</f>
        <v>271</v>
      </c>
      <c r="L31" s="39">
        <f>28+59+63+66+31</f>
        <v>247</v>
      </c>
      <c r="M31" s="39">
        <f>4+3+2</f>
        <v>9</v>
      </c>
      <c r="N31" s="39">
        <f>28+59+63+66+31</f>
        <v>247</v>
      </c>
    </row>
    <row r="32" spans="1:14" x14ac:dyDescent="0.2">
      <c r="A32" s="42" t="s">
        <v>69</v>
      </c>
      <c r="B32" s="42" t="s">
        <v>85</v>
      </c>
      <c r="D32" s="39">
        <v>16</v>
      </c>
      <c r="E32">
        <v>16</v>
      </c>
      <c r="F32" s="39">
        <v>16</v>
      </c>
      <c r="H32" s="39">
        <v>0</v>
      </c>
      <c r="I32" s="39">
        <v>0</v>
      </c>
      <c r="J32" s="39">
        <v>0</v>
      </c>
      <c r="L32" s="39">
        <v>0</v>
      </c>
      <c r="M32" s="39">
        <v>0</v>
      </c>
      <c r="N32" s="39">
        <v>0</v>
      </c>
    </row>
    <row r="33" spans="1:14" x14ac:dyDescent="0.2">
      <c r="A33" s="42" t="s">
        <v>92</v>
      </c>
      <c r="B33" s="42" t="s">
        <v>83</v>
      </c>
      <c r="D33" s="50">
        <v>6</v>
      </c>
      <c r="E33">
        <v>6</v>
      </c>
      <c r="F33" s="39">
        <v>0</v>
      </c>
      <c r="H33" s="39">
        <f>2+1+2+2</f>
        <v>7</v>
      </c>
      <c r="I33" s="39">
        <f>2+1+2+2</f>
        <v>7</v>
      </c>
      <c r="J33" s="39">
        <v>0</v>
      </c>
      <c r="L33" s="39">
        <f>3+2+3+2+2</f>
        <v>12</v>
      </c>
      <c r="M33" s="39">
        <f>3+2+3+2+2</f>
        <v>12</v>
      </c>
      <c r="N33" s="39">
        <v>0</v>
      </c>
    </row>
    <row r="34" spans="1:14" x14ac:dyDescent="0.2">
      <c r="A34" s="42" t="s">
        <v>97</v>
      </c>
      <c r="B34" s="42" t="s">
        <v>83</v>
      </c>
      <c r="D34" s="50"/>
      <c r="F34" s="39"/>
      <c r="H34" s="39">
        <f>9+2+2</f>
        <v>13</v>
      </c>
      <c r="I34" s="39">
        <f>9+2+2</f>
        <v>13</v>
      </c>
      <c r="J34" s="39">
        <v>0</v>
      </c>
      <c r="L34" s="39">
        <v>0</v>
      </c>
      <c r="M34" s="39">
        <v>0</v>
      </c>
      <c r="N34" s="39">
        <v>0</v>
      </c>
    </row>
    <row r="35" spans="1:14" x14ac:dyDescent="0.2">
      <c r="A35" s="42" t="s">
        <v>98</v>
      </c>
      <c r="B35" s="42"/>
      <c r="D35" s="50"/>
      <c r="F35" s="39"/>
      <c r="H35" s="39"/>
      <c r="I35" s="39"/>
      <c r="J35" s="39"/>
      <c r="L35" s="39">
        <f>10</f>
        <v>10</v>
      </c>
      <c r="M35" s="39">
        <f>10</f>
        <v>10</v>
      </c>
      <c r="N35" s="39">
        <v>0</v>
      </c>
    </row>
    <row r="36" spans="1:14" x14ac:dyDescent="0.2">
      <c r="A36" s="6" t="s">
        <v>61</v>
      </c>
      <c r="B36" s="6"/>
      <c r="D36" s="40">
        <f>SUM(D25:D33)</f>
        <v>487</v>
      </c>
      <c r="E36" s="40">
        <f>SUM(E25:E33)</f>
        <v>276</v>
      </c>
      <c r="F36" s="40">
        <f>SUM(F25:F33)</f>
        <v>417</v>
      </c>
      <c r="H36" s="40">
        <f>SUM(H25:H33)</f>
        <v>473</v>
      </c>
      <c r="I36" s="40">
        <f>SUM(I25:I32)</f>
        <v>219</v>
      </c>
      <c r="J36" s="40">
        <f>SUM(J25:J32)</f>
        <v>399</v>
      </c>
      <c r="L36" s="40">
        <f>SUM(L25:L32)</f>
        <v>465</v>
      </c>
      <c r="M36" s="40">
        <f>SUM(M25:M32)</f>
        <v>227</v>
      </c>
      <c r="N36" s="40">
        <f>SUM(N25:N32)</f>
        <v>391</v>
      </c>
    </row>
    <row r="39" spans="1:14" x14ac:dyDescent="0.2">
      <c r="D39" s="56" t="s">
        <v>75</v>
      </c>
      <c r="E39" s="56"/>
      <c r="F39" s="56"/>
      <c r="H39" s="57">
        <v>44501</v>
      </c>
      <c r="I39" s="56"/>
      <c r="J39" s="56"/>
      <c r="L39" s="56" t="s">
        <v>76</v>
      </c>
      <c r="M39" s="56"/>
      <c r="N39" s="56"/>
    </row>
    <row r="40" spans="1:14" x14ac:dyDescent="0.2">
      <c r="A40" s="6" t="s">
        <v>81</v>
      </c>
      <c r="B40" s="6" t="s">
        <v>80</v>
      </c>
      <c r="D40" s="41" t="s">
        <v>53</v>
      </c>
      <c r="E40" s="41" t="s">
        <v>55</v>
      </c>
      <c r="F40" s="41" t="s">
        <v>86</v>
      </c>
      <c r="H40" s="41" t="s">
        <v>53</v>
      </c>
      <c r="I40" s="41" t="s">
        <v>55</v>
      </c>
      <c r="J40" s="41" t="s">
        <v>86</v>
      </c>
      <c r="L40" s="41" t="s">
        <v>53</v>
      </c>
      <c r="M40" s="41" t="s">
        <v>55</v>
      </c>
      <c r="N40" s="41" t="s">
        <v>86</v>
      </c>
    </row>
    <row r="41" spans="1:14" x14ac:dyDescent="0.2">
      <c r="A41" s="42" t="s">
        <v>62</v>
      </c>
      <c r="B41" s="42" t="s">
        <v>82</v>
      </c>
      <c r="D41" s="39">
        <f>9+38+31+31+33</f>
        <v>142</v>
      </c>
      <c r="E41" s="39">
        <f>9+38+31+31+33</f>
        <v>142</v>
      </c>
      <c r="F41" s="39">
        <f>9+38+31+31+33</f>
        <v>142</v>
      </c>
      <c r="H41" s="39"/>
      <c r="I41" s="39"/>
      <c r="J41" s="39"/>
      <c r="L41" s="39"/>
      <c r="M41" s="39"/>
      <c r="N41" s="39"/>
    </row>
    <row r="42" spans="1:14" x14ac:dyDescent="0.2">
      <c r="A42" s="42" t="s">
        <v>63</v>
      </c>
      <c r="B42" s="42" t="s">
        <v>82</v>
      </c>
      <c r="D42" s="39">
        <f>2+2+2+2+2</f>
        <v>10</v>
      </c>
      <c r="E42" s="39">
        <f>2+2+2+2+2</f>
        <v>10</v>
      </c>
      <c r="F42" s="39">
        <f>2+2+2+2+2</f>
        <v>10</v>
      </c>
      <c r="H42" s="39"/>
      <c r="I42" s="39"/>
      <c r="J42" s="39"/>
      <c r="L42" s="39"/>
      <c r="M42" s="39"/>
      <c r="N42" s="39"/>
    </row>
    <row r="43" spans="1:14" x14ac:dyDescent="0.2">
      <c r="A43" s="42" t="s">
        <v>65</v>
      </c>
      <c r="B43" s="42" t="s">
        <v>83</v>
      </c>
      <c r="D43" s="39">
        <f>1+4+5+5+4</f>
        <v>19</v>
      </c>
      <c r="E43" s="39">
        <f>1+4+5+5+4</f>
        <v>19</v>
      </c>
      <c r="F43" s="39">
        <v>0</v>
      </c>
      <c r="H43" s="39"/>
      <c r="I43" s="39"/>
      <c r="J43" s="39"/>
      <c r="L43" s="39"/>
      <c r="M43" s="39"/>
      <c r="N43" s="39"/>
    </row>
    <row r="44" spans="1:14" x14ac:dyDescent="0.2">
      <c r="A44" s="42" t="s">
        <v>66</v>
      </c>
      <c r="B44" s="42" t="s">
        <v>83</v>
      </c>
      <c r="D44" s="39">
        <f>3+15+14+13+12</f>
        <v>57</v>
      </c>
      <c r="E44" s="39">
        <f>3+15+14+13+12</f>
        <v>57</v>
      </c>
      <c r="F44" s="39">
        <v>0</v>
      </c>
      <c r="H44" s="39"/>
      <c r="I44" s="39"/>
      <c r="J44" s="39"/>
      <c r="L44" s="39"/>
      <c r="M44" s="39"/>
      <c r="N44" s="39"/>
    </row>
    <row r="45" spans="1:14" x14ac:dyDescent="0.2">
      <c r="A45" s="42" t="s">
        <v>67</v>
      </c>
      <c r="B45" s="42" t="s">
        <v>84</v>
      </c>
      <c r="D45" s="39">
        <f>1+4+3+1+2</f>
        <v>11</v>
      </c>
      <c r="E45" s="39">
        <f>1+4+3+1+2</f>
        <v>11</v>
      </c>
      <c r="F45" s="39">
        <f>1+4+3+1+2</f>
        <v>11</v>
      </c>
      <c r="H45" s="39"/>
      <c r="I45" s="39"/>
      <c r="J45" s="39"/>
      <c r="L45" s="39"/>
      <c r="M45" s="39"/>
      <c r="N45" s="39"/>
    </row>
    <row r="46" spans="1:14" x14ac:dyDescent="0.2">
      <c r="A46" s="42" t="s">
        <v>68</v>
      </c>
      <c r="B46" s="42" t="s">
        <v>82</v>
      </c>
      <c r="D46" s="39">
        <f>31+66+58+75+92</f>
        <v>322</v>
      </c>
      <c r="E46" s="39">
        <f>2+28+28+37</f>
        <v>95</v>
      </c>
      <c r="F46" s="39">
        <f>31+66+58+75+92</f>
        <v>322</v>
      </c>
      <c r="H46" s="39"/>
      <c r="I46" s="39"/>
      <c r="J46" s="39"/>
      <c r="L46" s="39"/>
      <c r="M46" s="39"/>
      <c r="N46" s="39"/>
    </row>
    <row r="47" spans="1:14" x14ac:dyDescent="0.2">
      <c r="A47" s="42" t="s">
        <v>92</v>
      </c>
      <c r="B47" s="42" t="s">
        <v>83</v>
      </c>
      <c r="D47" s="50">
        <f>2+2+5+2</f>
        <v>11</v>
      </c>
      <c r="E47" s="50">
        <f>2+2+5+2</f>
        <v>11</v>
      </c>
      <c r="F47" s="39">
        <v>0</v>
      </c>
      <c r="H47" s="39"/>
      <c r="I47" s="39"/>
      <c r="J47" s="39"/>
      <c r="L47" s="39"/>
      <c r="M47" s="39"/>
      <c r="N47" s="39"/>
    </row>
    <row r="48" spans="1:14" x14ac:dyDescent="0.2">
      <c r="A48" s="42" t="s">
        <v>98</v>
      </c>
      <c r="B48" s="42"/>
      <c r="D48" s="50">
        <f>5+5+5+4</f>
        <v>19</v>
      </c>
      <c r="E48" s="50">
        <f>5+5+5+4</f>
        <v>19</v>
      </c>
      <c r="F48" s="39">
        <v>0</v>
      </c>
      <c r="H48" s="39"/>
      <c r="I48" s="39"/>
      <c r="J48" s="39"/>
      <c r="L48" s="39"/>
      <c r="M48" s="39"/>
      <c r="N48" s="39"/>
    </row>
    <row r="49" spans="1:14" x14ac:dyDescent="0.2">
      <c r="A49" s="42" t="s">
        <v>99</v>
      </c>
      <c r="B49" s="42"/>
      <c r="D49" s="50">
        <f>2+2+3+2</f>
        <v>9</v>
      </c>
      <c r="E49" s="50">
        <f>2+2+3+2</f>
        <v>9</v>
      </c>
      <c r="F49" s="39">
        <v>0</v>
      </c>
      <c r="H49" s="39"/>
      <c r="I49" s="39"/>
      <c r="J49" s="39"/>
      <c r="L49" s="39"/>
      <c r="M49" s="39"/>
      <c r="N49" s="39"/>
    </row>
    <row r="50" spans="1:14" x14ac:dyDescent="0.2">
      <c r="A50" s="6" t="s">
        <v>61</v>
      </c>
      <c r="B50" s="6"/>
      <c r="D50" s="40">
        <f>SUM(D41:D46)</f>
        <v>561</v>
      </c>
      <c r="E50" s="40">
        <f>SUM(E41:E46)</f>
        <v>334</v>
      </c>
      <c r="F50" s="40">
        <f>SUM(F41:F49)</f>
        <v>485</v>
      </c>
      <c r="H50" s="40">
        <f>SUM(H41:H46)</f>
        <v>0</v>
      </c>
      <c r="I50" s="40">
        <f>SUM(I41:I46)</f>
        <v>0</v>
      </c>
      <c r="J50" s="40">
        <f>SUM(J41:J46)</f>
        <v>0</v>
      </c>
      <c r="L50" s="40">
        <f>SUM(L41:L46)</f>
        <v>0</v>
      </c>
      <c r="M50" s="40">
        <f>SUM(M41:M46)</f>
        <v>0</v>
      </c>
      <c r="N50" s="40">
        <f>SUM(N41:N46)</f>
        <v>0</v>
      </c>
    </row>
    <row r="53" spans="1:14" x14ac:dyDescent="0.2">
      <c r="D53" s="56" t="s">
        <v>77</v>
      </c>
      <c r="E53" s="56"/>
      <c r="F53" s="56"/>
      <c r="H53" s="56" t="s">
        <v>78</v>
      </c>
      <c r="I53" s="56"/>
      <c r="J53" s="56"/>
      <c r="L53" s="56" t="s">
        <v>79</v>
      </c>
      <c r="M53" s="56"/>
      <c r="N53" s="56"/>
    </row>
    <row r="54" spans="1:14" x14ac:dyDescent="0.2">
      <c r="A54" s="6" t="s">
        <v>81</v>
      </c>
      <c r="B54" s="6" t="s">
        <v>80</v>
      </c>
      <c r="D54" s="41" t="s">
        <v>53</v>
      </c>
      <c r="E54" s="41" t="s">
        <v>55</v>
      </c>
      <c r="F54" s="41" t="s">
        <v>86</v>
      </c>
      <c r="H54" s="41" t="s">
        <v>53</v>
      </c>
      <c r="I54" s="41" t="s">
        <v>55</v>
      </c>
      <c r="J54" s="41" t="s">
        <v>86</v>
      </c>
      <c r="L54" s="41" t="s">
        <v>53</v>
      </c>
      <c r="M54" s="41" t="s">
        <v>55</v>
      </c>
      <c r="N54" s="41" t="s">
        <v>86</v>
      </c>
    </row>
    <row r="55" spans="1:14" x14ac:dyDescent="0.2">
      <c r="A55" s="42" t="s">
        <v>62</v>
      </c>
      <c r="B55" s="42" t="s">
        <v>82</v>
      </c>
    </row>
    <row r="56" spans="1:14" x14ac:dyDescent="0.2">
      <c r="A56" s="42" t="s">
        <v>63</v>
      </c>
      <c r="B56" s="42" t="s">
        <v>82</v>
      </c>
    </row>
    <row r="57" spans="1:14" x14ac:dyDescent="0.2">
      <c r="A57" s="42" t="s">
        <v>64</v>
      </c>
      <c r="B57" s="42" t="s">
        <v>82</v>
      </c>
    </row>
    <row r="58" spans="1:14" x14ac:dyDescent="0.2">
      <c r="A58" s="42" t="s">
        <v>65</v>
      </c>
      <c r="B58" s="42" t="s">
        <v>83</v>
      </c>
    </row>
    <row r="59" spans="1:14" x14ac:dyDescent="0.2">
      <c r="A59" s="42" t="s">
        <v>66</v>
      </c>
      <c r="B59" s="42" t="s">
        <v>83</v>
      </c>
    </row>
    <row r="60" spans="1:14" x14ac:dyDescent="0.2">
      <c r="A60" s="42" t="s">
        <v>67</v>
      </c>
      <c r="B60" s="42" t="s">
        <v>84</v>
      </c>
    </row>
    <row r="61" spans="1:14" x14ac:dyDescent="0.2">
      <c r="A61" s="42" t="s">
        <v>68</v>
      </c>
      <c r="B61" s="42" t="s">
        <v>82</v>
      </c>
    </row>
    <row r="62" spans="1:14" x14ac:dyDescent="0.2">
      <c r="A62" s="42" t="s">
        <v>69</v>
      </c>
      <c r="B62" s="42" t="s">
        <v>85</v>
      </c>
    </row>
    <row r="63" spans="1:14" x14ac:dyDescent="0.2">
      <c r="A63" s="6" t="s">
        <v>61</v>
      </c>
      <c r="B63" s="6"/>
      <c r="D63" s="40">
        <f>SUM(D55:D62)</f>
        <v>0</v>
      </c>
      <c r="E63" s="40">
        <f>SUM(E55:E62)</f>
        <v>0</v>
      </c>
      <c r="F63" s="40">
        <f>SUM(F55:F62)</f>
        <v>0</v>
      </c>
      <c r="H63" s="40">
        <f>SUM(H55:H62)</f>
        <v>0</v>
      </c>
      <c r="I63" s="40">
        <f>SUM(I55:I62)</f>
        <v>0</v>
      </c>
      <c r="J63" s="40">
        <f>SUM(J55:J62)</f>
        <v>0</v>
      </c>
      <c r="L63" s="40">
        <f>SUM(L55:L62)</f>
        <v>0</v>
      </c>
      <c r="M63" s="40">
        <f>SUM(M55:M62)</f>
        <v>0</v>
      </c>
      <c r="N63" s="40">
        <f>SUM(N55:N62)</f>
        <v>0</v>
      </c>
    </row>
  </sheetData>
  <mergeCells count="12">
    <mergeCell ref="D10:F10"/>
    <mergeCell ref="H10:J10"/>
    <mergeCell ref="L10:N10"/>
    <mergeCell ref="D23:F23"/>
    <mergeCell ref="H23:J23"/>
    <mergeCell ref="L23:N23"/>
    <mergeCell ref="D53:F53"/>
    <mergeCell ref="L53:N53"/>
    <mergeCell ref="H53:J53"/>
    <mergeCell ref="D39:F39"/>
    <mergeCell ref="H39:J39"/>
    <mergeCell ref="L39:N39"/>
  </mergeCells>
  <pageMargins left="0.7" right="0.7" top="0.75" bottom="0.75" header="0.3" footer="0.3"/>
  <pageSetup paperSize="9" orientation="portrait" horizontalDpi="180" verticalDpi="180" r:id="rId1"/>
  <ignoredErrors>
    <ignoredError sqref="I31 M31" formula="1"/>
  </ignoredError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499984740745262"/>
  </sheetPr>
  <dimension ref="A3:AN42"/>
  <sheetViews>
    <sheetView tabSelected="1" topLeftCell="U1" workbookViewId="0">
      <selection activeCell="AF33" sqref="AF33:AF41"/>
    </sheetView>
  </sheetViews>
  <sheetFormatPr defaultRowHeight="12.75" x14ac:dyDescent="0.2"/>
  <cols>
    <col min="1" max="1" width="24.140625" bestFit="1" customWidth="1"/>
    <col min="9" max="9" width="24.140625" bestFit="1" customWidth="1"/>
    <col min="18" max="18" width="12" customWidth="1"/>
  </cols>
  <sheetData>
    <row r="3" spans="1:40" x14ac:dyDescent="0.2">
      <c r="A3" s="45" t="s">
        <v>59</v>
      </c>
      <c r="B3" s="58" t="s">
        <v>57</v>
      </c>
      <c r="C3" s="58"/>
      <c r="D3" s="58"/>
      <c r="E3" s="58"/>
      <c r="F3" s="58"/>
      <c r="I3" s="45" t="s">
        <v>60</v>
      </c>
      <c r="J3" s="58" t="s">
        <v>57</v>
      </c>
      <c r="K3" s="58"/>
      <c r="L3" s="58"/>
      <c r="M3" s="58"/>
      <c r="N3" s="58"/>
      <c r="O3" s="58"/>
      <c r="R3" s="45" t="s">
        <v>73</v>
      </c>
      <c r="S3" s="58" t="s">
        <v>57</v>
      </c>
      <c r="T3" s="58"/>
      <c r="U3" s="58"/>
      <c r="V3" s="58"/>
      <c r="W3" s="58"/>
      <c r="Z3" s="45" t="s">
        <v>74</v>
      </c>
      <c r="AA3" s="58" t="s">
        <v>57</v>
      </c>
      <c r="AB3" s="58"/>
      <c r="AC3" s="58"/>
      <c r="AD3" s="58"/>
      <c r="AE3" s="58"/>
      <c r="AH3" s="54">
        <v>44409</v>
      </c>
      <c r="AI3" s="53" t="s">
        <v>57</v>
      </c>
    </row>
    <row r="4" spans="1:40" x14ac:dyDescent="0.2">
      <c r="B4" s="49">
        <v>29.03</v>
      </c>
      <c r="C4" s="47" t="s">
        <v>70</v>
      </c>
      <c r="D4" s="44">
        <v>12.04</v>
      </c>
      <c r="E4" s="44">
        <v>19.04</v>
      </c>
      <c r="F4" s="49">
        <v>26.04</v>
      </c>
      <c r="G4" s="43" t="s">
        <v>54</v>
      </c>
      <c r="J4" s="49">
        <v>26.04</v>
      </c>
      <c r="K4" s="47" t="s">
        <v>72</v>
      </c>
      <c r="L4" s="44">
        <v>10.050000000000001</v>
      </c>
      <c r="M4" s="44">
        <v>17.05</v>
      </c>
      <c r="N4" s="44">
        <v>24.05</v>
      </c>
      <c r="O4" s="49">
        <v>31.05</v>
      </c>
      <c r="P4" s="43" t="s">
        <v>54</v>
      </c>
      <c r="S4" s="49">
        <v>31.05</v>
      </c>
      <c r="T4" s="52" t="s">
        <v>87</v>
      </c>
      <c r="U4" s="47" t="s">
        <v>88</v>
      </c>
      <c r="V4" s="47" t="s">
        <v>89</v>
      </c>
      <c r="W4" s="49" t="s">
        <v>90</v>
      </c>
      <c r="X4" s="43" t="s">
        <v>54</v>
      </c>
      <c r="AA4" s="49" t="s">
        <v>90</v>
      </c>
      <c r="AB4" s="52" t="s">
        <v>93</v>
      </c>
      <c r="AC4" s="52" t="s">
        <v>94</v>
      </c>
      <c r="AD4" s="52" t="s">
        <v>95</v>
      </c>
      <c r="AE4" s="52" t="s">
        <v>96</v>
      </c>
      <c r="AF4" s="43" t="s">
        <v>54</v>
      </c>
      <c r="AI4" s="49" t="s">
        <v>96</v>
      </c>
      <c r="AN4" s="43" t="s">
        <v>54</v>
      </c>
    </row>
    <row r="5" spans="1:40" x14ac:dyDescent="0.2">
      <c r="A5" s="43" t="s">
        <v>62</v>
      </c>
      <c r="B5" s="39">
        <v>1</v>
      </c>
      <c r="C5" s="39">
        <v>16</v>
      </c>
      <c r="D5" s="39">
        <v>20</v>
      </c>
      <c r="E5" s="39">
        <v>17</v>
      </c>
      <c r="F5" s="39">
        <v>19</v>
      </c>
      <c r="G5" s="43">
        <f>SUM(B5:F5)</f>
        <v>73</v>
      </c>
      <c r="I5" s="43" t="s">
        <v>62</v>
      </c>
      <c r="J5" s="39"/>
      <c r="K5" s="39">
        <v>24</v>
      </c>
      <c r="L5" s="39">
        <v>20</v>
      </c>
      <c r="M5" s="39">
        <v>22</v>
      </c>
      <c r="N5">
        <v>23</v>
      </c>
      <c r="P5" s="43">
        <f t="shared" ref="P5:P13" si="0">SUM(J5:O5)</f>
        <v>89</v>
      </c>
      <c r="R5" s="43" t="s">
        <v>62</v>
      </c>
      <c r="S5" s="39">
        <v>21</v>
      </c>
      <c r="T5" s="39">
        <v>23</v>
      </c>
      <c r="U5" s="39">
        <v>20</v>
      </c>
      <c r="V5">
        <v>33</v>
      </c>
      <c r="W5" s="39">
        <v>19</v>
      </c>
      <c r="X5" s="43">
        <f t="shared" ref="X5:X13" si="1">SUM(S5:W5)</f>
        <v>116</v>
      </c>
      <c r="Z5" s="43" t="s">
        <v>62</v>
      </c>
      <c r="AA5" s="39">
        <v>11</v>
      </c>
      <c r="AB5" s="39">
        <v>34</v>
      </c>
      <c r="AC5" s="39">
        <v>24</v>
      </c>
      <c r="AD5" s="39">
        <v>29</v>
      </c>
      <c r="AE5" s="39">
        <v>31</v>
      </c>
      <c r="AF5" s="43">
        <f t="shared" ref="AF5:AF13" si="2">SUM(AA5:AE5)</f>
        <v>129</v>
      </c>
      <c r="AH5" s="43" t="s">
        <v>62</v>
      </c>
      <c r="AN5" s="43">
        <f t="shared" ref="AN5:AN13" si="3">SUM(AI5:AM5)</f>
        <v>0</v>
      </c>
    </row>
    <row r="6" spans="1:40" x14ac:dyDescent="0.2">
      <c r="A6" s="43" t="s">
        <v>63</v>
      </c>
      <c r="B6" s="39">
        <v>1</v>
      </c>
      <c r="C6" s="39">
        <v>3</v>
      </c>
      <c r="D6" s="39">
        <v>6</v>
      </c>
      <c r="E6" s="39">
        <v>5</v>
      </c>
      <c r="F6" s="39">
        <v>5</v>
      </c>
      <c r="G6" s="43">
        <f t="shared" ref="G6:G12" si="4">SUM(B6:F6)</f>
        <v>20</v>
      </c>
      <c r="I6" s="43" t="s">
        <v>63</v>
      </c>
      <c r="J6" s="39">
        <v>1</v>
      </c>
      <c r="K6" s="39">
        <v>7</v>
      </c>
      <c r="L6" s="39">
        <v>5</v>
      </c>
      <c r="M6" s="39">
        <v>8</v>
      </c>
      <c r="N6">
        <v>7</v>
      </c>
      <c r="O6" s="51">
        <v>1</v>
      </c>
      <c r="P6" s="43">
        <f t="shared" si="0"/>
        <v>29</v>
      </c>
      <c r="R6" s="43" t="s">
        <v>63</v>
      </c>
      <c r="S6" s="39">
        <v>7</v>
      </c>
      <c r="T6" s="39">
        <v>10</v>
      </c>
      <c r="U6" s="39">
        <v>6</v>
      </c>
      <c r="V6">
        <v>2</v>
      </c>
      <c r="W6" s="39">
        <v>3</v>
      </c>
      <c r="X6" s="43">
        <f t="shared" si="1"/>
        <v>28</v>
      </c>
      <c r="Z6" s="43" t="s">
        <v>63</v>
      </c>
      <c r="AA6" s="39"/>
      <c r="AB6" s="39">
        <v>10</v>
      </c>
      <c r="AC6" s="39">
        <v>8</v>
      </c>
      <c r="AD6" s="39">
        <v>5</v>
      </c>
      <c r="AE6" s="39">
        <v>5</v>
      </c>
      <c r="AF6" s="43">
        <f t="shared" si="2"/>
        <v>28</v>
      </c>
      <c r="AH6" s="43" t="s">
        <v>63</v>
      </c>
      <c r="AI6">
        <v>2</v>
      </c>
      <c r="AN6" s="43">
        <f t="shared" si="3"/>
        <v>2</v>
      </c>
    </row>
    <row r="7" spans="1:40" x14ac:dyDescent="0.2">
      <c r="A7" s="43" t="s">
        <v>64</v>
      </c>
      <c r="B7" s="39">
        <v>1</v>
      </c>
      <c r="C7" s="39">
        <v>3</v>
      </c>
      <c r="D7" s="39">
        <v>3</v>
      </c>
      <c r="E7" s="39">
        <v>3</v>
      </c>
      <c r="F7" s="39">
        <v>3</v>
      </c>
      <c r="G7" s="43">
        <f t="shared" si="4"/>
        <v>13</v>
      </c>
      <c r="I7" s="43" t="s">
        <v>64</v>
      </c>
      <c r="J7" s="39"/>
      <c r="K7" s="39">
        <v>3</v>
      </c>
      <c r="L7" s="39">
        <v>3</v>
      </c>
      <c r="M7" s="39">
        <v>3</v>
      </c>
      <c r="N7">
        <v>3</v>
      </c>
      <c r="O7" s="51">
        <v>1</v>
      </c>
      <c r="P7" s="43">
        <f t="shared" si="0"/>
        <v>13</v>
      </c>
      <c r="R7" s="43" t="s">
        <v>64</v>
      </c>
      <c r="S7" s="39">
        <v>2</v>
      </c>
      <c r="T7" s="39">
        <v>2</v>
      </c>
      <c r="U7" s="39">
        <v>3</v>
      </c>
      <c r="V7">
        <v>3</v>
      </c>
      <c r="W7" s="39">
        <v>2</v>
      </c>
      <c r="X7" s="43">
        <f t="shared" si="1"/>
        <v>12</v>
      </c>
      <c r="Z7" s="43" t="s">
        <v>64</v>
      </c>
      <c r="AA7" s="39">
        <v>1</v>
      </c>
      <c r="AB7" s="39">
        <v>3</v>
      </c>
      <c r="AC7" s="39">
        <v>3</v>
      </c>
      <c r="AD7" s="39">
        <v>3</v>
      </c>
      <c r="AE7" s="39">
        <v>3</v>
      </c>
      <c r="AF7" s="43">
        <f t="shared" si="2"/>
        <v>13</v>
      </c>
      <c r="AH7" s="43" t="s">
        <v>64</v>
      </c>
      <c r="AN7" s="43">
        <f t="shared" si="3"/>
        <v>0</v>
      </c>
    </row>
    <row r="8" spans="1:40" x14ac:dyDescent="0.2">
      <c r="A8" s="43" t="s">
        <v>65</v>
      </c>
      <c r="B8" s="39"/>
      <c r="C8" s="39">
        <v>3</v>
      </c>
      <c r="D8" s="39">
        <v>5</v>
      </c>
      <c r="E8" s="39">
        <v>5</v>
      </c>
      <c r="F8" s="39">
        <v>3</v>
      </c>
      <c r="G8" s="43">
        <f t="shared" si="4"/>
        <v>16</v>
      </c>
      <c r="I8" s="43" t="s">
        <v>65</v>
      </c>
      <c r="J8" s="39"/>
      <c r="K8" s="39">
        <v>4</v>
      </c>
      <c r="L8" s="39">
        <v>5</v>
      </c>
      <c r="M8" s="39">
        <v>5</v>
      </c>
      <c r="N8">
        <v>5</v>
      </c>
      <c r="O8" s="51">
        <v>3</v>
      </c>
      <c r="P8" s="43">
        <f t="shared" si="0"/>
        <v>22</v>
      </c>
      <c r="R8" s="43" t="s">
        <v>65</v>
      </c>
      <c r="S8" s="39">
        <v>1</v>
      </c>
      <c r="T8" s="39">
        <v>5</v>
      </c>
      <c r="U8" s="39">
        <v>4</v>
      </c>
      <c r="V8">
        <v>5</v>
      </c>
      <c r="W8" s="39">
        <v>3</v>
      </c>
      <c r="X8" s="43">
        <f t="shared" si="1"/>
        <v>18</v>
      </c>
      <c r="Z8" s="43" t="s">
        <v>65</v>
      </c>
      <c r="AA8" s="39"/>
      <c r="AB8" s="39"/>
      <c r="AC8" s="39">
        <v>5</v>
      </c>
      <c r="AD8" s="39">
        <v>5</v>
      </c>
      <c r="AE8" s="39">
        <v>4</v>
      </c>
      <c r="AF8" s="43">
        <f t="shared" si="2"/>
        <v>14</v>
      </c>
      <c r="AH8" s="43" t="s">
        <v>65</v>
      </c>
      <c r="AN8" s="43">
        <f t="shared" si="3"/>
        <v>0</v>
      </c>
    </row>
    <row r="9" spans="1:40" x14ac:dyDescent="0.2">
      <c r="A9" s="43" t="s">
        <v>66</v>
      </c>
      <c r="B9" s="39">
        <v>3</v>
      </c>
      <c r="C9" s="39">
        <v>12</v>
      </c>
      <c r="D9" s="39">
        <v>14</v>
      </c>
      <c r="E9" s="39">
        <v>13</v>
      </c>
      <c r="F9" s="39">
        <v>15</v>
      </c>
      <c r="G9" s="43">
        <f t="shared" si="4"/>
        <v>57</v>
      </c>
      <c r="I9" s="43" t="s">
        <v>66</v>
      </c>
      <c r="J9" s="39"/>
      <c r="K9" s="39">
        <v>11</v>
      </c>
      <c r="L9" s="39">
        <v>14</v>
      </c>
      <c r="M9" s="39">
        <v>10</v>
      </c>
      <c r="N9">
        <v>15</v>
      </c>
      <c r="O9" s="51">
        <v>4</v>
      </c>
      <c r="P9" s="43">
        <f t="shared" si="0"/>
        <v>54</v>
      </c>
      <c r="R9" s="43" t="s">
        <v>66</v>
      </c>
      <c r="S9" s="39">
        <v>6</v>
      </c>
      <c r="T9" s="39">
        <v>10</v>
      </c>
      <c r="U9" s="39">
        <v>10</v>
      </c>
      <c r="V9">
        <v>15</v>
      </c>
      <c r="W9" s="39">
        <v>6</v>
      </c>
      <c r="X9" s="43">
        <f t="shared" si="1"/>
        <v>47</v>
      </c>
      <c r="Z9" s="43" t="s">
        <v>66</v>
      </c>
      <c r="AA9" s="39">
        <v>4</v>
      </c>
      <c r="AB9" s="39">
        <v>15</v>
      </c>
      <c r="AC9" s="39">
        <v>9</v>
      </c>
      <c r="AD9" s="39">
        <v>16</v>
      </c>
      <c r="AE9" s="39">
        <v>6</v>
      </c>
      <c r="AF9" s="43">
        <f t="shared" si="2"/>
        <v>50</v>
      </c>
      <c r="AH9" s="43" t="s">
        <v>66</v>
      </c>
      <c r="AN9" s="43">
        <f t="shared" si="3"/>
        <v>0</v>
      </c>
    </row>
    <row r="10" spans="1:40" x14ac:dyDescent="0.2">
      <c r="A10" s="43" t="s">
        <v>67</v>
      </c>
      <c r="B10" s="39">
        <v>2</v>
      </c>
      <c r="C10" s="39">
        <v>2</v>
      </c>
      <c r="D10" s="39">
        <v>2</v>
      </c>
      <c r="E10" s="39">
        <v>2</v>
      </c>
      <c r="F10" s="39">
        <v>2</v>
      </c>
      <c r="G10" s="43">
        <f t="shared" si="4"/>
        <v>10</v>
      </c>
      <c r="I10" s="43" t="s">
        <v>67</v>
      </c>
      <c r="J10" s="39"/>
      <c r="K10" s="39">
        <v>2</v>
      </c>
      <c r="L10" s="39">
        <v>2</v>
      </c>
      <c r="M10" s="39">
        <v>2</v>
      </c>
      <c r="N10">
        <v>2</v>
      </c>
      <c r="P10" s="43">
        <f t="shared" si="0"/>
        <v>8</v>
      </c>
      <c r="R10" s="43" t="s">
        <v>67</v>
      </c>
      <c r="S10" s="39">
        <v>2</v>
      </c>
      <c r="T10" s="39">
        <v>3</v>
      </c>
      <c r="U10" s="39">
        <v>2</v>
      </c>
      <c r="V10" s="39"/>
      <c r="W10" s="39">
        <v>1</v>
      </c>
      <c r="X10" s="43">
        <f t="shared" si="1"/>
        <v>8</v>
      </c>
      <c r="Z10" s="43" t="s">
        <v>67</v>
      </c>
      <c r="AA10" s="39">
        <v>2</v>
      </c>
      <c r="AB10" s="39">
        <v>2</v>
      </c>
      <c r="AC10" s="39">
        <v>2</v>
      </c>
      <c r="AD10" s="39">
        <v>2</v>
      </c>
      <c r="AE10" s="39">
        <v>2</v>
      </c>
      <c r="AF10" s="43">
        <f t="shared" si="2"/>
        <v>10</v>
      </c>
      <c r="AH10" s="43" t="s">
        <v>67</v>
      </c>
      <c r="AN10" s="43">
        <f t="shared" si="3"/>
        <v>0</v>
      </c>
    </row>
    <row r="11" spans="1:40" x14ac:dyDescent="0.2">
      <c r="A11" s="43" t="s">
        <v>68</v>
      </c>
      <c r="B11" s="39"/>
      <c r="C11" s="39">
        <v>12</v>
      </c>
      <c r="D11" s="39"/>
      <c r="E11" s="39"/>
      <c r="F11" s="39"/>
      <c r="G11" s="43">
        <f t="shared" si="4"/>
        <v>12</v>
      </c>
      <c r="I11" s="43" t="s">
        <v>68</v>
      </c>
      <c r="J11" s="39"/>
      <c r="K11" s="39">
        <v>1</v>
      </c>
      <c r="L11" s="39">
        <v>2</v>
      </c>
      <c r="M11" s="39">
        <v>2</v>
      </c>
      <c r="N11">
        <v>3</v>
      </c>
      <c r="P11" s="43">
        <f t="shared" si="0"/>
        <v>8</v>
      </c>
      <c r="R11" s="43" t="s">
        <v>68</v>
      </c>
      <c r="S11" s="39">
        <v>0</v>
      </c>
      <c r="T11" s="39">
        <v>10</v>
      </c>
      <c r="U11" s="39">
        <v>12</v>
      </c>
      <c r="V11">
        <v>17</v>
      </c>
      <c r="W11" s="39">
        <v>5</v>
      </c>
      <c r="X11" s="43">
        <f t="shared" si="1"/>
        <v>44</v>
      </c>
      <c r="Z11" s="43" t="s">
        <v>68</v>
      </c>
      <c r="AA11" s="39">
        <v>19</v>
      </c>
      <c r="AB11" s="39">
        <v>31</v>
      </c>
      <c r="AC11" s="39">
        <v>58</v>
      </c>
      <c r="AD11" s="39">
        <v>58</v>
      </c>
      <c r="AE11" s="39">
        <v>55</v>
      </c>
      <c r="AF11" s="43">
        <f t="shared" si="2"/>
        <v>221</v>
      </c>
      <c r="AH11" s="43" t="s">
        <v>68</v>
      </c>
      <c r="AI11">
        <v>12</v>
      </c>
      <c r="AN11" s="43">
        <f t="shared" si="3"/>
        <v>12</v>
      </c>
    </row>
    <row r="12" spans="1:40" x14ac:dyDescent="0.2">
      <c r="A12" s="43" t="s">
        <v>69</v>
      </c>
      <c r="B12" s="39"/>
      <c r="C12" s="39"/>
      <c r="D12" s="39">
        <v>3</v>
      </c>
      <c r="E12" s="39">
        <v>3</v>
      </c>
      <c r="F12" s="39">
        <v>3</v>
      </c>
      <c r="G12" s="43">
        <f t="shared" si="4"/>
        <v>9</v>
      </c>
      <c r="I12" s="43" t="s">
        <v>69</v>
      </c>
      <c r="J12" s="39"/>
      <c r="K12" s="39">
        <v>3</v>
      </c>
      <c r="L12" s="39">
        <v>2</v>
      </c>
      <c r="M12" s="39">
        <v>3</v>
      </c>
      <c r="N12">
        <v>3</v>
      </c>
      <c r="P12" s="43">
        <f t="shared" si="0"/>
        <v>11</v>
      </c>
      <c r="R12" s="43" t="s">
        <v>69</v>
      </c>
      <c r="S12" s="39">
        <v>2</v>
      </c>
      <c r="T12" s="39">
        <v>2</v>
      </c>
      <c r="U12" s="39">
        <v>2</v>
      </c>
      <c r="V12">
        <v>3</v>
      </c>
      <c r="W12" s="39">
        <v>3</v>
      </c>
      <c r="X12" s="43">
        <f t="shared" si="1"/>
        <v>12</v>
      </c>
      <c r="Z12" s="43" t="s">
        <v>69</v>
      </c>
      <c r="AA12" s="39">
        <v>2</v>
      </c>
      <c r="AB12" s="39">
        <v>5</v>
      </c>
      <c r="AC12" s="39"/>
      <c r="AD12" s="39">
        <v>4</v>
      </c>
      <c r="AE12" s="39">
        <v>5</v>
      </c>
      <c r="AF12" s="43">
        <f t="shared" si="2"/>
        <v>16</v>
      </c>
      <c r="AH12" s="43" t="s">
        <v>69</v>
      </c>
      <c r="AN12" s="43">
        <f t="shared" si="3"/>
        <v>0</v>
      </c>
    </row>
    <row r="13" spans="1:40" x14ac:dyDescent="0.2">
      <c r="B13" s="46">
        <f>SUM(B5:B12)</f>
        <v>8</v>
      </c>
      <c r="C13" s="46">
        <f t="shared" ref="C13:F13" si="5">SUM(C5:C12)</f>
        <v>51</v>
      </c>
      <c r="D13" s="46">
        <f t="shared" si="5"/>
        <v>53</v>
      </c>
      <c r="E13" s="46">
        <f t="shared" si="5"/>
        <v>48</v>
      </c>
      <c r="F13" s="46">
        <f t="shared" si="5"/>
        <v>50</v>
      </c>
      <c r="G13" s="48">
        <f>SUM(B13:F13)</f>
        <v>210</v>
      </c>
      <c r="H13" s="43"/>
      <c r="J13" s="46">
        <f>SUM(J5:J12)</f>
        <v>1</v>
      </c>
      <c r="K13" s="46">
        <f t="shared" ref="K13" si="6">SUM(K5:K12)</f>
        <v>55</v>
      </c>
      <c r="L13" s="46">
        <f t="shared" ref="L13" si="7">SUM(L5:L12)</f>
        <v>53</v>
      </c>
      <c r="M13" s="46">
        <f t="shared" ref="M13" si="8">SUM(M5:M12)</f>
        <v>55</v>
      </c>
      <c r="N13" s="46">
        <f t="shared" ref="N13:O13" si="9">SUM(N5:N12)</f>
        <v>61</v>
      </c>
      <c r="O13" s="46">
        <f t="shared" si="9"/>
        <v>9</v>
      </c>
      <c r="P13" s="48">
        <f t="shared" si="0"/>
        <v>234</v>
      </c>
      <c r="R13" s="43" t="s">
        <v>92</v>
      </c>
      <c r="S13" s="39"/>
      <c r="T13" s="39"/>
      <c r="U13" s="39"/>
      <c r="W13" s="39">
        <v>13</v>
      </c>
      <c r="X13" s="43">
        <f t="shared" si="1"/>
        <v>13</v>
      </c>
      <c r="Z13" s="43" t="s">
        <v>92</v>
      </c>
      <c r="AA13" s="39">
        <v>1</v>
      </c>
      <c r="AB13" s="39"/>
      <c r="AC13" s="39">
        <v>2</v>
      </c>
      <c r="AD13" s="39">
        <v>1</v>
      </c>
      <c r="AE13" s="39">
        <v>2</v>
      </c>
      <c r="AF13" s="43">
        <f t="shared" si="2"/>
        <v>6</v>
      </c>
      <c r="AH13" s="43" t="s">
        <v>92</v>
      </c>
      <c r="AN13" s="43">
        <f t="shared" si="3"/>
        <v>0</v>
      </c>
    </row>
    <row r="14" spans="1:40" x14ac:dyDescent="0.2">
      <c r="S14" s="46">
        <f>SUM(S5:S13)</f>
        <v>41</v>
      </c>
      <c r="T14" s="46">
        <f t="shared" ref="T14:AF14" si="10">SUM(T5:T13)</f>
        <v>65</v>
      </c>
      <c r="U14" s="46">
        <f t="shared" si="10"/>
        <v>59</v>
      </c>
      <c r="V14" s="46">
        <f t="shared" si="10"/>
        <v>78</v>
      </c>
      <c r="W14" s="46">
        <f t="shared" si="10"/>
        <v>55</v>
      </c>
      <c r="X14" s="48">
        <f t="shared" si="10"/>
        <v>298</v>
      </c>
      <c r="Z14">
        <f t="shared" si="10"/>
        <v>0</v>
      </c>
      <c r="AA14" s="46">
        <f t="shared" si="10"/>
        <v>40</v>
      </c>
      <c r="AB14" s="46">
        <f t="shared" si="10"/>
        <v>100</v>
      </c>
      <c r="AC14" s="46">
        <f t="shared" si="10"/>
        <v>111</v>
      </c>
      <c r="AD14" s="46">
        <f t="shared" si="10"/>
        <v>123</v>
      </c>
      <c r="AE14" s="46">
        <f t="shared" si="10"/>
        <v>113</v>
      </c>
      <c r="AF14" s="48">
        <f t="shared" si="10"/>
        <v>487</v>
      </c>
      <c r="AH14" s="43"/>
      <c r="AI14" s="43">
        <f>SUM(AI5:AI13)</f>
        <v>14</v>
      </c>
      <c r="AJ14" s="43">
        <f t="shared" ref="AJ14:AN14" si="11">SUM(AJ5:AJ13)</f>
        <v>0</v>
      </c>
      <c r="AK14" s="43">
        <f t="shared" si="11"/>
        <v>0</v>
      </c>
      <c r="AL14" s="43">
        <f t="shared" si="11"/>
        <v>0</v>
      </c>
      <c r="AM14" s="43">
        <f t="shared" si="11"/>
        <v>0</v>
      </c>
      <c r="AN14" s="43">
        <f t="shared" si="11"/>
        <v>14</v>
      </c>
    </row>
    <row r="17" spans="1:40" x14ac:dyDescent="0.2">
      <c r="A17" s="45" t="s">
        <v>59</v>
      </c>
      <c r="B17" s="58" t="s">
        <v>71</v>
      </c>
      <c r="C17" s="58"/>
      <c r="D17" s="58"/>
      <c r="E17" s="58"/>
      <c r="F17" s="58"/>
      <c r="I17" s="45" t="s">
        <v>60</v>
      </c>
      <c r="J17" s="58" t="s">
        <v>71</v>
      </c>
      <c r="K17" s="58"/>
      <c r="L17" s="58"/>
      <c r="M17" s="58"/>
      <c r="N17" s="58"/>
      <c r="O17" s="58"/>
    </row>
    <row r="18" spans="1:40" x14ac:dyDescent="0.2">
      <c r="B18" s="49">
        <v>29.03</v>
      </c>
      <c r="C18" s="47" t="s">
        <v>70</v>
      </c>
      <c r="D18" s="44">
        <v>12.04</v>
      </c>
      <c r="E18" s="44">
        <v>19.04</v>
      </c>
      <c r="F18" s="49">
        <v>26.04</v>
      </c>
      <c r="G18" s="43" t="s">
        <v>54</v>
      </c>
      <c r="J18" s="49">
        <v>26.04</v>
      </c>
      <c r="K18" s="47" t="s">
        <v>72</v>
      </c>
      <c r="L18" s="44">
        <v>10.050000000000001</v>
      </c>
      <c r="M18" s="44">
        <v>17.05</v>
      </c>
      <c r="N18" s="44">
        <v>24.05</v>
      </c>
      <c r="O18" s="49">
        <v>31.05</v>
      </c>
      <c r="P18" s="43" t="s">
        <v>54</v>
      </c>
      <c r="R18" s="45" t="s">
        <v>73</v>
      </c>
      <c r="S18" s="58" t="s">
        <v>71</v>
      </c>
      <c r="T18" s="58"/>
      <c r="U18" s="58"/>
      <c r="V18" s="58"/>
      <c r="W18" s="58"/>
      <c r="Z18" s="45" t="s">
        <v>74</v>
      </c>
      <c r="AA18" s="58" t="s">
        <v>71</v>
      </c>
      <c r="AB18" s="58"/>
      <c r="AC18" s="58"/>
      <c r="AD18" s="58"/>
      <c r="AE18" s="58"/>
      <c r="AH18" s="54">
        <v>44409</v>
      </c>
      <c r="AI18" s="43" t="s">
        <v>71</v>
      </c>
    </row>
    <row r="19" spans="1:40" x14ac:dyDescent="0.2">
      <c r="A19" s="43" t="s">
        <v>62</v>
      </c>
      <c r="B19" s="39">
        <v>1</v>
      </c>
      <c r="C19" s="39">
        <v>16</v>
      </c>
      <c r="D19" s="39">
        <v>20</v>
      </c>
      <c r="E19" s="39">
        <v>17</v>
      </c>
      <c r="F19" s="39">
        <v>19</v>
      </c>
      <c r="G19" s="43">
        <f>SUM(B19:F19)</f>
        <v>73</v>
      </c>
      <c r="I19" s="43" t="s">
        <v>62</v>
      </c>
      <c r="J19" s="39"/>
      <c r="K19" s="39">
        <v>24</v>
      </c>
      <c r="L19" s="39">
        <v>20</v>
      </c>
      <c r="M19" s="39">
        <v>22</v>
      </c>
      <c r="N19">
        <v>23</v>
      </c>
      <c r="P19" s="43">
        <f>SUM(J19:O19)</f>
        <v>89</v>
      </c>
      <c r="S19" s="49">
        <v>31.05</v>
      </c>
      <c r="T19" s="52" t="s">
        <v>87</v>
      </c>
      <c r="U19" s="47" t="s">
        <v>88</v>
      </c>
      <c r="V19" s="47" t="s">
        <v>89</v>
      </c>
      <c r="W19" s="49" t="s">
        <v>90</v>
      </c>
      <c r="X19" s="43" t="s">
        <v>54</v>
      </c>
      <c r="AA19" s="49" t="s">
        <v>90</v>
      </c>
      <c r="AB19" s="39"/>
      <c r="AC19" s="39"/>
      <c r="AD19" s="39"/>
      <c r="AF19" s="43" t="s">
        <v>54</v>
      </c>
      <c r="AI19" s="49" t="s">
        <v>96</v>
      </c>
      <c r="AN19" s="43" t="s">
        <v>54</v>
      </c>
    </row>
    <row r="20" spans="1:40" x14ac:dyDescent="0.2">
      <c r="A20" s="43" t="s">
        <v>63</v>
      </c>
      <c r="B20" s="39">
        <v>1</v>
      </c>
      <c r="C20" s="39">
        <v>3</v>
      </c>
      <c r="D20" s="39">
        <v>6</v>
      </c>
      <c r="E20" s="39">
        <v>5</v>
      </c>
      <c r="F20" s="39">
        <v>5</v>
      </c>
      <c r="G20" s="43">
        <f t="shared" ref="G20:G26" si="12">SUM(B20:F20)</f>
        <v>20</v>
      </c>
      <c r="I20" s="43" t="s">
        <v>63</v>
      </c>
      <c r="J20" s="39">
        <v>1</v>
      </c>
      <c r="K20" s="39">
        <v>7</v>
      </c>
      <c r="L20" s="39">
        <v>5</v>
      </c>
      <c r="M20" s="39">
        <v>8</v>
      </c>
      <c r="N20">
        <v>7</v>
      </c>
      <c r="O20" s="51">
        <v>1</v>
      </c>
      <c r="P20" s="43">
        <f t="shared" ref="P20:P27" si="13">SUM(J20:O20)</f>
        <v>29</v>
      </c>
      <c r="R20" s="43" t="s">
        <v>62</v>
      </c>
      <c r="S20" s="39">
        <v>21</v>
      </c>
      <c r="T20" s="39">
        <v>23</v>
      </c>
      <c r="U20" s="39">
        <v>20</v>
      </c>
      <c r="V20" s="39">
        <v>33</v>
      </c>
      <c r="W20" s="39">
        <v>19</v>
      </c>
      <c r="X20" s="43">
        <f t="shared" ref="X20:X28" si="14">SUM(S20:W20)</f>
        <v>116</v>
      </c>
      <c r="Z20" s="43" t="s">
        <v>62</v>
      </c>
      <c r="AA20" s="39">
        <v>11</v>
      </c>
      <c r="AB20" s="39">
        <v>34</v>
      </c>
      <c r="AC20" s="39">
        <v>24</v>
      </c>
      <c r="AD20" s="39">
        <v>29</v>
      </c>
      <c r="AE20" s="39">
        <v>31</v>
      </c>
      <c r="AF20" s="43">
        <f t="shared" ref="AF20:AF28" si="15">SUM(AA20:AE20)</f>
        <v>129</v>
      </c>
      <c r="AH20" s="43" t="s">
        <v>62</v>
      </c>
      <c r="AN20" s="43">
        <f t="shared" ref="AN20:AN28" si="16">SUM(AI20:AM20)</f>
        <v>0</v>
      </c>
    </row>
    <row r="21" spans="1:40" x14ac:dyDescent="0.2">
      <c r="A21" s="43" t="s">
        <v>64</v>
      </c>
      <c r="B21" s="39">
        <v>1</v>
      </c>
      <c r="C21" s="39">
        <v>3</v>
      </c>
      <c r="D21" s="39">
        <v>3</v>
      </c>
      <c r="E21" s="39">
        <v>3</v>
      </c>
      <c r="F21" s="39">
        <v>3</v>
      </c>
      <c r="G21" s="43">
        <f t="shared" si="12"/>
        <v>13</v>
      </c>
      <c r="I21" s="43" t="s">
        <v>64</v>
      </c>
      <c r="J21" s="39"/>
      <c r="K21" s="39">
        <v>3</v>
      </c>
      <c r="L21" s="39">
        <v>3</v>
      </c>
      <c r="M21" s="39">
        <v>3</v>
      </c>
      <c r="N21">
        <v>3</v>
      </c>
      <c r="O21" s="51">
        <v>1</v>
      </c>
      <c r="P21" s="43">
        <f t="shared" si="13"/>
        <v>13</v>
      </c>
      <c r="R21" s="43" t="s">
        <v>63</v>
      </c>
      <c r="S21" s="39">
        <v>7</v>
      </c>
      <c r="T21" s="39">
        <v>10</v>
      </c>
      <c r="U21" s="39">
        <v>6</v>
      </c>
      <c r="V21" s="39">
        <v>2</v>
      </c>
      <c r="W21" s="39">
        <v>3</v>
      </c>
      <c r="X21" s="43">
        <f t="shared" si="14"/>
        <v>28</v>
      </c>
      <c r="Z21" s="43" t="s">
        <v>63</v>
      </c>
      <c r="AA21" s="39"/>
      <c r="AB21" s="39">
        <v>10</v>
      </c>
      <c r="AC21" s="39">
        <v>8</v>
      </c>
      <c r="AD21" s="39">
        <v>5</v>
      </c>
      <c r="AE21" s="39">
        <v>5</v>
      </c>
      <c r="AF21" s="43">
        <f t="shared" si="15"/>
        <v>28</v>
      </c>
      <c r="AH21" s="43" t="s">
        <v>63</v>
      </c>
      <c r="AI21">
        <v>2</v>
      </c>
      <c r="AN21" s="43">
        <f t="shared" si="16"/>
        <v>2</v>
      </c>
    </row>
    <row r="22" spans="1:40" x14ac:dyDescent="0.2">
      <c r="A22" s="43" t="s">
        <v>65</v>
      </c>
      <c r="B22" s="39"/>
      <c r="C22" s="39"/>
      <c r="D22" s="39"/>
      <c r="E22" s="39"/>
      <c r="F22" s="39"/>
      <c r="G22" s="43">
        <f t="shared" si="12"/>
        <v>0</v>
      </c>
      <c r="I22" s="43" t="s">
        <v>65</v>
      </c>
      <c r="J22" s="39"/>
      <c r="K22" s="39"/>
      <c r="L22" s="39"/>
      <c r="M22" s="39"/>
      <c r="P22" s="43">
        <f t="shared" si="13"/>
        <v>0</v>
      </c>
      <c r="R22" s="43" t="s">
        <v>64</v>
      </c>
      <c r="S22" s="39">
        <v>2</v>
      </c>
      <c r="T22" s="39">
        <v>2</v>
      </c>
      <c r="U22" s="39">
        <v>3</v>
      </c>
      <c r="V22" s="39">
        <v>3</v>
      </c>
      <c r="W22" s="39">
        <v>2</v>
      </c>
      <c r="X22" s="43">
        <f t="shared" si="14"/>
        <v>12</v>
      </c>
      <c r="Z22" s="43" t="s">
        <v>64</v>
      </c>
      <c r="AA22" s="39">
        <v>1</v>
      </c>
      <c r="AB22" s="39">
        <v>3</v>
      </c>
      <c r="AC22" s="39">
        <v>3</v>
      </c>
      <c r="AD22" s="39">
        <v>3</v>
      </c>
      <c r="AE22" s="39">
        <v>3</v>
      </c>
      <c r="AF22" s="43">
        <f t="shared" si="15"/>
        <v>13</v>
      </c>
      <c r="AH22" s="43" t="s">
        <v>64</v>
      </c>
      <c r="AN22" s="43">
        <f t="shared" si="16"/>
        <v>0</v>
      </c>
    </row>
    <row r="23" spans="1:40" x14ac:dyDescent="0.2">
      <c r="A23" s="43" t="s">
        <v>66</v>
      </c>
      <c r="B23" s="39"/>
      <c r="C23" s="39"/>
      <c r="D23" s="39"/>
      <c r="E23" s="39"/>
      <c r="F23" s="39"/>
      <c r="G23" s="43">
        <f t="shared" si="12"/>
        <v>0</v>
      </c>
      <c r="I23" s="43" t="s">
        <v>66</v>
      </c>
      <c r="J23" s="39"/>
      <c r="K23" s="39"/>
      <c r="L23" s="39"/>
      <c r="M23" s="39"/>
      <c r="P23" s="43">
        <f t="shared" si="13"/>
        <v>0</v>
      </c>
      <c r="R23" s="43" t="s">
        <v>65</v>
      </c>
      <c r="S23" s="39"/>
      <c r="T23" s="39"/>
      <c r="U23" s="39"/>
      <c r="V23" s="39"/>
      <c r="W23" s="39"/>
      <c r="X23" s="43">
        <f t="shared" si="14"/>
        <v>0</v>
      </c>
      <c r="Z23" s="43" t="s">
        <v>65</v>
      </c>
      <c r="AA23" s="39"/>
      <c r="AB23" s="39"/>
      <c r="AC23" s="39"/>
      <c r="AD23" s="39"/>
      <c r="AE23" s="39"/>
      <c r="AF23" s="43">
        <f t="shared" si="15"/>
        <v>0</v>
      </c>
      <c r="AH23" s="43" t="s">
        <v>65</v>
      </c>
      <c r="AN23" s="43">
        <f t="shared" si="16"/>
        <v>0</v>
      </c>
    </row>
    <row r="24" spans="1:40" x14ac:dyDescent="0.2">
      <c r="A24" s="43" t="s">
        <v>67</v>
      </c>
      <c r="B24" s="39">
        <v>2</v>
      </c>
      <c r="C24" s="39">
        <v>2</v>
      </c>
      <c r="D24" s="39">
        <v>2</v>
      </c>
      <c r="E24" s="39">
        <v>2</v>
      </c>
      <c r="F24" s="39">
        <v>2</v>
      </c>
      <c r="G24" s="43">
        <f t="shared" si="12"/>
        <v>10</v>
      </c>
      <c r="I24" s="43" t="s">
        <v>67</v>
      </c>
      <c r="J24" s="39"/>
      <c r="K24" s="39">
        <v>2</v>
      </c>
      <c r="L24" s="39">
        <v>2</v>
      </c>
      <c r="M24" s="39">
        <v>2</v>
      </c>
      <c r="N24">
        <v>2</v>
      </c>
      <c r="P24" s="43">
        <f t="shared" si="13"/>
        <v>8</v>
      </c>
      <c r="R24" s="43" t="s">
        <v>66</v>
      </c>
      <c r="S24" s="39"/>
      <c r="T24" s="39"/>
      <c r="U24" s="39"/>
      <c r="V24" s="39"/>
      <c r="W24" s="39"/>
      <c r="X24" s="43">
        <f t="shared" si="14"/>
        <v>0</v>
      </c>
      <c r="Z24" s="43" t="s">
        <v>66</v>
      </c>
      <c r="AA24" s="39"/>
      <c r="AB24" s="39"/>
      <c r="AC24" s="39"/>
      <c r="AD24" s="39"/>
      <c r="AE24" s="39"/>
      <c r="AF24" s="43">
        <f t="shared" si="15"/>
        <v>0</v>
      </c>
      <c r="AH24" s="43" t="s">
        <v>66</v>
      </c>
      <c r="AN24" s="43">
        <f t="shared" si="16"/>
        <v>0</v>
      </c>
    </row>
    <row r="25" spans="1:40" x14ac:dyDescent="0.2">
      <c r="A25" s="43" t="s">
        <v>68</v>
      </c>
      <c r="B25" s="39"/>
      <c r="C25" s="39">
        <v>12</v>
      </c>
      <c r="D25" s="39"/>
      <c r="E25" s="39"/>
      <c r="F25" s="39"/>
      <c r="G25" s="43">
        <f t="shared" si="12"/>
        <v>12</v>
      </c>
      <c r="I25" s="43" t="s">
        <v>68</v>
      </c>
      <c r="J25" s="39"/>
      <c r="K25" s="39">
        <v>1</v>
      </c>
      <c r="L25" s="39">
        <v>2</v>
      </c>
      <c r="M25" s="39">
        <v>2</v>
      </c>
      <c r="N25">
        <v>3</v>
      </c>
      <c r="P25" s="43">
        <f t="shared" si="13"/>
        <v>8</v>
      </c>
      <c r="R25" s="43" t="s">
        <v>67</v>
      </c>
      <c r="S25" s="39">
        <v>2</v>
      </c>
      <c r="T25" s="39">
        <v>3</v>
      </c>
      <c r="U25" s="39">
        <v>2</v>
      </c>
      <c r="V25" s="39"/>
      <c r="W25" s="39">
        <v>1</v>
      </c>
      <c r="X25" s="43">
        <f t="shared" si="14"/>
        <v>8</v>
      </c>
      <c r="Z25" s="43" t="s">
        <v>67</v>
      </c>
      <c r="AA25" s="39">
        <v>2</v>
      </c>
      <c r="AB25" s="39">
        <v>2</v>
      </c>
      <c r="AC25" s="39">
        <v>2</v>
      </c>
      <c r="AD25" s="39">
        <v>2</v>
      </c>
      <c r="AE25" s="39">
        <v>2</v>
      </c>
      <c r="AF25" s="43">
        <f t="shared" si="15"/>
        <v>10</v>
      </c>
      <c r="AH25" s="43" t="s">
        <v>67</v>
      </c>
      <c r="AN25" s="43">
        <f t="shared" si="16"/>
        <v>0</v>
      </c>
    </row>
    <row r="26" spans="1:40" x14ac:dyDescent="0.2">
      <c r="A26" s="43" t="s">
        <v>69</v>
      </c>
      <c r="B26" s="39"/>
      <c r="C26" s="39"/>
      <c r="D26" s="39">
        <v>3</v>
      </c>
      <c r="E26" s="39">
        <v>3</v>
      </c>
      <c r="F26" s="39">
        <v>3</v>
      </c>
      <c r="G26" s="43">
        <f t="shared" si="12"/>
        <v>9</v>
      </c>
      <c r="I26" s="43" t="s">
        <v>69</v>
      </c>
      <c r="J26" s="39"/>
      <c r="K26" s="39">
        <v>3</v>
      </c>
      <c r="L26" s="39">
        <v>2</v>
      </c>
      <c r="M26" s="39">
        <v>3</v>
      </c>
      <c r="N26">
        <v>3</v>
      </c>
      <c r="P26" s="43">
        <f t="shared" si="13"/>
        <v>11</v>
      </c>
      <c r="R26" s="43" t="s">
        <v>68</v>
      </c>
      <c r="S26" s="39">
        <v>0</v>
      </c>
      <c r="T26" s="39">
        <v>10</v>
      </c>
      <c r="U26" s="39">
        <v>12</v>
      </c>
      <c r="V26" s="39">
        <v>17</v>
      </c>
      <c r="W26" s="39">
        <v>5</v>
      </c>
      <c r="X26" s="43">
        <f t="shared" si="14"/>
        <v>44</v>
      </c>
      <c r="Z26" s="43" t="s">
        <v>68</v>
      </c>
      <c r="AA26" s="39">
        <v>19</v>
      </c>
      <c r="AB26" s="39">
        <v>31</v>
      </c>
      <c r="AC26" s="39">
        <v>58</v>
      </c>
      <c r="AD26" s="39">
        <v>58</v>
      </c>
      <c r="AE26" s="39">
        <v>55</v>
      </c>
      <c r="AF26" s="43">
        <f t="shared" si="15"/>
        <v>221</v>
      </c>
      <c r="AH26" s="43" t="s">
        <v>68</v>
      </c>
      <c r="AI26">
        <v>12</v>
      </c>
      <c r="AN26" s="43">
        <f t="shared" si="16"/>
        <v>12</v>
      </c>
    </row>
    <row r="27" spans="1:40" x14ac:dyDescent="0.2">
      <c r="B27" s="46">
        <f>SUM(B19:B26)</f>
        <v>5</v>
      </c>
      <c r="C27" s="46">
        <f t="shared" ref="C27" si="17">SUM(C19:C26)</f>
        <v>36</v>
      </c>
      <c r="D27" s="46">
        <f t="shared" ref="D27" si="18">SUM(D19:D26)</f>
        <v>34</v>
      </c>
      <c r="E27" s="46">
        <f t="shared" ref="E27" si="19">SUM(E19:E26)</f>
        <v>30</v>
      </c>
      <c r="F27" s="46">
        <f t="shared" ref="F27" si="20">SUM(F19:F26)</f>
        <v>32</v>
      </c>
      <c r="G27" s="48">
        <f>SUM(B27:F27)</f>
        <v>137</v>
      </c>
      <c r="J27" s="46">
        <f>SUM(J19:J26)</f>
        <v>1</v>
      </c>
      <c r="K27" s="46">
        <f t="shared" ref="K27" si="21">SUM(K19:K26)</f>
        <v>40</v>
      </c>
      <c r="L27" s="46">
        <f t="shared" ref="L27" si="22">SUM(L19:L26)</f>
        <v>34</v>
      </c>
      <c r="M27" s="46">
        <f t="shared" ref="M27" si="23">SUM(M19:M26)</f>
        <v>40</v>
      </c>
      <c r="N27" s="46">
        <f t="shared" ref="N27:O27" si="24">SUM(N19:N26)</f>
        <v>41</v>
      </c>
      <c r="O27" s="46">
        <f t="shared" si="24"/>
        <v>2</v>
      </c>
      <c r="P27" s="48">
        <f t="shared" si="13"/>
        <v>158</v>
      </c>
      <c r="R27" s="43" t="s">
        <v>69</v>
      </c>
      <c r="S27" s="39">
        <v>2</v>
      </c>
      <c r="T27" s="39">
        <v>2</v>
      </c>
      <c r="U27" s="39">
        <v>2</v>
      </c>
      <c r="V27" s="39">
        <v>3</v>
      </c>
      <c r="W27" s="39">
        <v>3</v>
      </c>
      <c r="X27" s="43">
        <f t="shared" si="14"/>
        <v>12</v>
      </c>
      <c r="Z27" s="43" t="s">
        <v>69</v>
      </c>
      <c r="AA27" s="39">
        <v>2</v>
      </c>
      <c r="AB27" s="39">
        <v>5</v>
      </c>
      <c r="AC27" s="39"/>
      <c r="AD27" s="39">
        <v>4</v>
      </c>
      <c r="AE27" s="39">
        <v>5</v>
      </c>
      <c r="AF27" s="43">
        <f t="shared" si="15"/>
        <v>16</v>
      </c>
      <c r="AH27" s="43" t="s">
        <v>69</v>
      </c>
      <c r="AN27" s="43">
        <f t="shared" si="16"/>
        <v>0</v>
      </c>
    </row>
    <row r="28" spans="1:40" x14ac:dyDescent="0.2">
      <c r="R28" s="43" t="s">
        <v>92</v>
      </c>
      <c r="S28" s="39"/>
      <c r="T28" s="39"/>
      <c r="U28" s="39"/>
      <c r="V28" s="39"/>
      <c r="X28" s="43">
        <f t="shared" si="14"/>
        <v>0</v>
      </c>
      <c r="Z28" s="43" t="s">
        <v>92</v>
      </c>
      <c r="AA28" s="39"/>
      <c r="AB28" s="39"/>
      <c r="AC28" s="39"/>
      <c r="AD28" s="39"/>
      <c r="AE28" s="39"/>
      <c r="AF28" s="43">
        <f t="shared" si="15"/>
        <v>0</v>
      </c>
      <c r="AH28" s="43" t="s">
        <v>92</v>
      </c>
      <c r="AN28" s="43">
        <f t="shared" si="16"/>
        <v>0</v>
      </c>
    </row>
    <row r="29" spans="1:40" x14ac:dyDescent="0.2">
      <c r="S29" s="46">
        <f>SUM(S20:S28)</f>
        <v>34</v>
      </c>
      <c r="T29" s="46">
        <f t="shared" ref="T29:AF29" si="25">SUM(T20:T28)</f>
        <v>50</v>
      </c>
      <c r="U29" s="46">
        <f t="shared" si="25"/>
        <v>45</v>
      </c>
      <c r="V29" s="46">
        <f t="shared" si="25"/>
        <v>58</v>
      </c>
      <c r="W29" s="46">
        <f t="shared" si="25"/>
        <v>33</v>
      </c>
      <c r="X29" s="48">
        <f t="shared" si="25"/>
        <v>220</v>
      </c>
      <c r="Z29">
        <f t="shared" si="25"/>
        <v>0</v>
      </c>
      <c r="AA29" s="46">
        <f t="shared" si="25"/>
        <v>35</v>
      </c>
      <c r="AB29" s="46">
        <f t="shared" si="25"/>
        <v>85</v>
      </c>
      <c r="AC29" s="46">
        <f t="shared" si="25"/>
        <v>95</v>
      </c>
      <c r="AD29" s="46">
        <f t="shared" si="25"/>
        <v>101</v>
      </c>
      <c r="AE29" s="46">
        <f t="shared" si="25"/>
        <v>101</v>
      </c>
      <c r="AF29" s="48">
        <f t="shared" si="25"/>
        <v>417</v>
      </c>
      <c r="AH29" s="43">
        <f t="shared" ref="AH29:AN29" si="26">SUM(AH20:AH28)</f>
        <v>0</v>
      </c>
      <c r="AI29" s="43">
        <f t="shared" si="26"/>
        <v>14</v>
      </c>
      <c r="AJ29" s="43">
        <f t="shared" si="26"/>
        <v>0</v>
      </c>
      <c r="AK29" s="43">
        <f t="shared" si="26"/>
        <v>0</v>
      </c>
      <c r="AL29" s="43">
        <f t="shared" si="26"/>
        <v>0</v>
      </c>
      <c r="AM29" s="43">
        <f t="shared" si="26"/>
        <v>0</v>
      </c>
      <c r="AN29" s="43">
        <f t="shared" si="26"/>
        <v>14</v>
      </c>
    </row>
    <row r="31" spans="1:40" x14ac:dyDescent="0.2">
      <c r="R31" s="45" t="s">
        <v>73</v>
      </c>
      <c r="S31" s="58" t="s">
        <v>91</v>
      </c>
      <c r="T31" s="58"/>
      <c r="U31" s="58"/>
      <c r="V31" s="58"/>
      <c r="W31" s="58"/>
      <c r="Z31" s="45" t="s">
        <v>74</v>
      </c>
      <c r="AA31" s="58" t="s">
        <v>91</v>
      </c>
      <c r="AB31" s="58"/>
      <c r="AC31" s="58"/>
      <c r="AD31" s="58"/>
      <c r="AE31" s="58"/>
      <c r="AH31" s="43" t="s">
        <v>74</v>
      </c>
      <c r="AI31" s="43" t="s">
        <v>91</v>
      </c>
    </row>
    <row r="32" spans="1:40" x14ac:dyDescent="0.2">
      <c r="S32" s="49">
        <v>31.05</v>
      </c>
      <c r="T32" s="52" t="s">
        <v>87</v>
      </c>
      <c r="U32" s="47" t="s">
        <v>88</v>
      </c>
      <c r="V32" s="47" t="s">
        <v>89</v>
      </c>
      <c r="W32" s="49" t="s">
        <v>90</v>
      </c>
      <c r="X32" s="43" t="s">
        <v>54</v>
      </c>
      <c r="AA32" s="49" t="s">
        <v>90</v>
      </c>
      <c r="AB32" s="39"/>
      <c r="AC32" s="39"/>
      <c r="AF32" s="43" t="s">
        <v>54</v>
      </c>
      <c r="AH32" s="43"/>
      <c r="AI32" s="49" t="s">
        <v>96</v>
      </c>
      <c r="AN32" s="43" t="s">
        <v>54</v>
      </c>
    </row>
    <row r="33" spans="18:40" x14ac:dyDescent="0.2">
      <c r="R33" s="43" t="s">
        <v>62</v>
      </c>
      <c r="S33" s="39">
        <v>21</v>
      </c>
      <c r="T33" s="39">
        <v>23</v>
      </c>
      <c r="U33" s="39">
        <v>20</v>
      </c>
      <c r="V33">
        <v>33</v>
      </c>
      <c r="W33" s="39">
        <v>19</v>
      </c>
      <c r="X33" s="43">
        <f t="shared" ref="X33:X41" si="27">SUM(S33:W33)</f>
        <v>116</v>
      </c>
      <c r="Z33" s="43" t="s">
        <v>62</v>
      </c>
      <c r="AA33" s="39">
        <v>11</v>
      </c>
      <c r="AB33" s="39">
        <v>34</v>
      </c>
      <c r="AC33" s="39">
        <v>24</v>
      </c>
      <c r="AD33" s="39">
        <v>29</v>
      </c>
      <c r="AE33">
        <v>31</v>
      </c>
      <c r="AF33" s="43">
        <f t="shared" ref="AF33:AF41" si="28">SUM(AA33:AE33)</f>
        <v>129</v>
      </c>
      <c r="AH33" s="43" t="s">
        <v>62</v>
      </c>
      <c r="AN33" s="43">
        <f>SUM(AI33:AM33)</f>
        <v>0</v>
      </c>
    </row>
    <row r="34" spans="18:40" x14ac:dyDescent="0.2">
      <c r="R34" s="43" t="s">
        <v>63</v>
      </c>
      <c r="S34" s="39">
        <v>7</v>
      </c>
      <c r="T34" s="39">
        <v>10</v>
      </c>
      <c r="U34" s="39">
        <v>6</v>
      </c>
      <c r="V34">
        <v>2</v>
      </c>
      <c r="W34" s="39">
        <v>3</v>
      </c>
      <c r="X34" s="43">
        <f t="shared" si="27"/>
        <v>28</v>
      </c>
      <c r="Z34" s="43" t="s">
        <v>63</v>
      </c>
      <c r="AA34" s="39"/>
      <c r="AB34" s="39">
        <v>10</v>
      </c>
      <c r="AC34" s="39">
        <v>8</v>
      </c>
      <c r="AD34" s="39">
        <v>5</v>
      </c>
      <c r="AE34">
        <v>5</v>
      </c>
      <c r="AF34" s="43">
        <f t="shared" si="28"/>
        <v>28</v>
      </c>
      <c r="AH34" s="43" t="s">
        <v>63</v>
      </c>
      <c r="AI34">
        <v>2</v>
      </c>
      <c r="AN34" s="43">
        <f t="shared" ref="AN34:AN41" si="29">SUM(AI34:AM34)</f>
        <v>2</v>
      </c>
    </row>
    <row r="35" spans="18:40" x14ac:dyDescent="0.2">
      <c r="R35" s="43" t="s">
        <v>64</v>
      </c>
      <c r="S35" s="39">
        <v>2</v>
      </c>
      <c r="T35" s="39">
        <v>2</v>
      </c>
      <c r="U35" s="39">
        <v>3</v>
      </c>
      <c r="V35">
        <v>3</v>
      </c>
      <c r="W35" s="39">
        <v>2</v>
      </c>
      <c r="X35" s="43">
        <f t="shared" si="27"/>
        <v>12</v>
      </c>
      <c r="Z35" s="43" t="s">
        <v>64</v>
      </c>
      <c r="AA35" s="39">
        <v>1</v>
      </c>
      <c r="AB35" s="39">
        <v>3</v>
      </c>
      <c r="AC35" s="39">
        <v>3</v>
      </c>
      <c r="AD35" s="39">
        <v>3</v>
      </c>
      <c r="AE35">
        <v>3</v>
      </c>
      <c r="AF35" s="43">
        <f t="shared" si="28"/>
        <v>13</v>
      </c>
      <c r="AH35" s="43" t="s">
        <v>64</v>
      </c>
      <c r="AN35" s="43">
        <f t="shared" si="29"/>
        <v>0</v>
      </c>
    </row>
    <row r="36" spans="18:40" x14ac:dyDescent="0.2">
      <c r="R36" s="43" t="s">
        <v>65</v>
      </c>
      <c r="S36" s="39">
        <v>1</v>
      </c>
      <c r="T36" s="39">
        <v>5</v>
      </c>
      <c r="U36" s="39">
        <v>4</v>
      </c>
      <c r="V36">
        <v>5</v>
      </c>
      <c r="W36" s="39">
        <v>3</v>
      </c>
      <c r="X36" s="43">
        <f t="shared" si="27"/>
        <v>18</v>
      </c>
      <c r="Z36" s="43" t="s">
        <v>65</v>
      </c>
      <c r="AA36" s="39"/>
      <c r="AB36" s="39"/>
      <c r="AC36" s="39">
        <v>5</v>
      </c>
      <c r="AD36" s="39">
        <v>5</v>
      </c>
      <c r="AE36">
        <v>4</v>
      </c>
      <c r="AF36" s="43">
        <f t="shared" si="28"/>
        <v>14</v>
      </c>
      <c r="AH36" s="43" t="s">
        <v>65</v>
      </c>
      <c r="AN36" s="43">
        <f t="shared" si="29"/>
        <v>0</v>
      </c>
    </row>
    <row r="37" spans="18:40" x14ac:dyDescent="0.2">
      <c r="R37" s="43" t="s">
        <v>66</v>
      </c>
      <c r="S37" s="39">
        <v>6</v>
      </c>
      <c r="T37" s="39">
        <v>10</v>
      </c>
      <c r="U37" s="39">
        <v>10</v>
      </c>
      <c r="V37">
        <v>15</v>
      </c>
      <c r="W37" s="39">
        <v>6</v>
      </c>
      <c r="X37" s="43">
        <f t="shared" si="27"/>
        <v>47</v>
      </c>
      <c r="Z37" s="43" t="s">
        <v>66</v>
      </c>
      <c r="AA37" s="39">
        <v>4</v>
      </c>
      <c r="AB37" s="39">
        <v>15</v>
      </c>
      <c r="AC37" s="39">
        <v>9</v>
      </c>
      <c r="AD37" s="39">
        <v>16</v>
      </c>
      <c r="AE37">
        <v>6</v>
      </c>
      <c r="AF37" s="43">
        <f t="shared" si="28"/>
        <v>50</v>
      </c>
      <c r="AH37" s="43" t="s">
        <v>66</v>
      </c>
      <c r="AN37" s="43">
        <f t="shared" si="29"/>
        <v>0</v>
      </c>
    </row>
    <row r="38" spans="18:40" x14ac:dyDescent="0.2">
      <c r="R38" s="43" t="s">
        <v>67</v>
      </c>
      <c r="S38" s="39">
        <v>2</v>
      </c>
      <c r="T38" s="39">
        <v>3</v>
      </c>
      <c r="U38" s="39">
        <v>2</v>
      </c>
      <c r="V38" s="39"/>
      <c r="W38" s="39">
        <v>1</v>
      </c>
      <c r="X38" s="43">
        <f t="shared" si="27"/>
        <v>8</v>
      </c>
      <c r="Z38" s="43" t="s">
        <v>67</v>
      </c>
      <c r="AA38" s="39">
        <v>2</v>
      </c>
      <c r="AB38" s="39">
        <v>2</v>
      </c>
      <c r="AC38" s="39">
        <v>2</v>
      </c>
      <c r="AD38" s="39">
        <v>2</v>
      </c>
      <c r="AE38">
        <v>2</v>
      </c>
      <c r="AF38" s="43">
        <f t="shared" si="28"/>
        <v>10</v>
      </c>
      <c r="AH38" s="43" t="s">
        <v>67</v>
      </c>
      <c r="AN38" s="43">
        <f t="shared" si="29"/>
        <v>0</v>
      </c>
    </row>
    <row r="39" spans="18:40" x14ac:dyDescent="0.2">
      <c r="R39" s="43" t="s">
        <v>68</v>
      </c>
      <c r="S39" s="39">
        <v>0</v>
      </c>
      <c r="T39" s="39">
        <v>8</v>
      </c>
      <c r="U39" s="39">
        <v>6</v>
      </c>
      <c r="V39">
        <v>4</v>
      </c>
      <c r="W39" s="39">
        <v>3</v>
      </c>
      <c r="X39" s="43">
        <f t="shared" si="27"/>
        <v>21</v>
      </c>
      <c r="Z39" s="43" t="s">
        <v>68</v>
      </c>
      <c r="AA39" s="39">
        <v>2</v>
      </c>
      <c r="AB39" s="39">
        <f>31-25</f>
        <v>6</v>
      </c>
      <c r="AC39" s="39"/>
      <c r="AD39" s="39"/>
      <c r="AE39">
        <v>2</v>
      </c>
      <c r="AF39" s="43">
        <f t="shared" si="28"/>
        <v>10</v>
      </c>
      <c r="AH39" s="43" t="s">
        <v>68</v>
      </c>
      <c r="AN39" s="43">
        <f t="shared" si="29"/>
        <v>0</v>
      </c>
    </row>
    <row r="40" spans="18:40" x14ac:dyDescent="0.2">
      <c r="R40" s="43" t="s">
        <v>69</v>
      </c>
      <c r="S40" s="39">
        <v>2</v>
      </c>
      <c r="T40" s="39">
        <v>2</v>
      </c>
      <c r="U40" s="39">
        <v>2</v>
      </c>
      <c r="V40">
        <v>3</v>
      </c>
      <c r="W40" s="39">
        <v>3</v>
      </c>
      <c r="X40" s="43">
        <f t="shared" si="27"/>
        <v>12</v>
      </c>
      <c r="Z40" s="43" t="s">
        <v>69</v>
      </c>
      <c r="AA40" s="39">
        <v>2</v>
      </c>
      <c r="AB40" s="39">
        <v>5</v>
      </c>
      <c r="AC40" s="39"/>
      <c r="AD40" s="39">
        <v>4</v>
      </c>
      <c r="AE40">
        <v>5</v>
      </c>
      <c r="AF40" s="43">
        <f t="shared" si="28"/>
        <v>16</v>
      </c>
      <c r="AH40" s="43" t="s">
        <v>69</v>
      </c>
      <c r="AN40" s="43">
        <f t="shared" si="29"/>
        <v>0</v>
      </c>
    </row>
    <row r="41" spans="18:40" x14ac:dyDescent="0.2">
      <c r="R41" s="43" t="s">
        <v>92</v>
      </c>
      <c r="S41" s="39"/>
      <c r="T41" s="39"/>
      <c r="U41" s="39"/>
      <c r="W41">
        <v>13</v>
      </c>
      <c r="X41" s="43">
        <f t="shared" si="27"/>
        <v>13</v>
      </c>
      <c r="Z41" s="43" t="s">
        <v>92</v>
      </c>
      <c r="AA41" s="39">
        <v>1</v>
      </c>
      <c r="AB41" s="39"/>
      <c r="AC41" s="39">
        <v>2</v>
      </c>
      <c r="AD41" s="39">
        <v>1</v>
      </c>
      <c r="AE41">
        <v>2</v>
      </c>
      <c r="AF41" s="43">
        <f t="shared" si="28"/>
        <v>6</v>
      </c>
      <c r="AH41" s="43" t="s">
        <v>92</v>
      </c>
      <c r="AN41" s="43">
        <f t="shared" si="29"/>
        <v>0</v>
      </c>
    </row>
    <row r="42" spans="18:40" x14ac:dyDescent="0.2">
      <c r="S42" s="46">
        <f>SUM(S33:S41)</f>
        <v>41</v>
      </c>
      <c r="T42" s="46">
        <f t="shared" ref="T42:AF42" si="30">SUM(T33:T41)</f>
        <v>63</v>
      </c>
      <c r="U42" s="46">
        <f t="shared" si="30"/>
        <v>53</v>
      </c>
      <c r="V42" s="46">
        <f t="shared" si="30"/>
        <v>65</v>
      </c>
      <c r="W42" s="46">
        <f t="shared" si="30"/>
        <v>53</v>
      </c>
      <c r="X42" s="48">
        <f t="shared" si="30"/>
        <v>275</v>
      </c>
      <c r="Z42">
        <f t="shared" si="30"/>
        <v>0</v>
      </c>
      <c r="AA42" s="46">
        <f t="shared" si="30"/>
        <v>23</v>
      </c>
      <c r="AB42" s="46">
        <f>SUM(AB33:AB41)</f>
        <v>75</v>
      </c>
      <c r="AC42" s="46">
        <f t="shared" si="30"/>
        <v>53</v>
      </c>
      <c r="AD42" s="46">
        <f t="shared" si="30"/>
        <v>65</v>
      </c>
      <c r="AE42" s="46">
        <f t="shared" si="30"/>
        <v>60</v>
      </c>
      <c r="AF42" s="48">
        <f t="shared" si="30"/>
        <v>276</v>
      </c>
      <c r="AH42" s="43">
        <v>0</v>
      </c>
      <c r="AI42" s="43">
        <f>SUM(AI33:AI41)</f>
        <v>2</v>
      </c>
      <c r="AJ42" s="43">
        <f t="shared" ref="AJ42:AN42" si="31">SUM(AJ33:AJ41)</f>
        <v>0</v>
      </c>
      <c r="AK42" s="43">
        <f t="shared" si="31"/>
        <v>0</v>
      </c>
      <c r="AL42" s="43">
        <f t="shared" si="31"/>
        <v>0</v>
      </c>
      <c r="AM42" s="43">
        <f t="shared" si="31"/>
        <v>0</v>
      </c>
      <c r="AN42" s="43">
        <f t="shared" si="31"/>
        <v>2</v>
      </c>
    </row>
  </sheetData>
  <mergeCells count="10">
    <mergeCell ref="S31:W31"/>
    <mergeCell ref="AA3:AE3"/>
    <mergeCell ref="AA18:AE18"/>
    <mergeCell ref="AA31:AE31"/>
    <mergeCell ref="B3:F3"/>
    <mergeCell ref="B17:F17"/>
    <mergeCell ref="J3:O3"/>
    <mergeCell ref="J17:O17"/>
    <mergeCell ref="S3:W3"/>
    <mergeCell ref="S18:W1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Vacancy Data</vt:lpstr>
      <vt:lpstr>Historical Agency &amp; Bank Data</vt:lpstr>
      <vt:lpstr>2021-22 Agency &amp; Bank</vt:lpstr>
      <vt:lpstr>2020-21 Agency &amp; Bank</vt:lpstr>
      <vt:lpstr>2019-20 Agency &amp; Bank </vt:lpstr>
      <vt:lpstr>2021-22 Agency Additional Data</vt:lpstr>
      <vt:lpstr>Backup</vt:lpstr>
    </vt:vector>
  </TitlesOfParts>
  <Company>Liverpool Women's NHS Foundation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Wainwright</dc:creator>
  <cp:lastModifiedBy>Jayne Parr</cp:lastModifiedBy>
  <cp:lastPrinted>2021-11-19T14:19:48Z</cp:lastPrinted>
  <dcterms:created xsi:type="dcterms:W3CDTF">2020-05-15T09:40:58Z</dcterms:created>
  <dcterms:modified xsi:type="dcterms:W3CDTF">2021-12-09T16:07:31Z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